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eth.santos.ARME\Documents\Documentos Pauleth\ARME 2021\Consulta Publica\Revisão extraordinária dos parâmetros das tarifas dos produtos regulados\"/>
    </mc:Choice>
  </mc:AlternateContent>
  <xr:revisionPtr revIDLastSave="0" documentId="8_{04C3DA20-CC08-4CC6-8767-3BDE453B2B32}" xr6:coauthVersionLast="47" xr6:coauthVersionMax="47" xr10:uidLastSave="{00000000-0000-0000-0000-000000000000}"/>
  <bookViews>
    <workbookView xWindow="-98" yWindow="-98" windowWidth="19396" windowHeight="10395" tabRatio="598" firstSheet="5" activeTab="6" xr2:uid="{00000000-000D-0000-FFFF-FFFF00000000}"/>
  </bookViews>
  <sheets>
    <sheet name="Tarifas_Custos Aceites" sheetId="94" r:id="rId1"/>
    <sheet name="Tarifas_Apuradas" sheetId="93" r:id="rId2"/>
    <sheet name="CP_Resumo" sheetId="83" r:id="rId3"/>
    <sheet name="Preço máximo de venda" sheetId="76" r:id="rId4"/>
    <sheet name="RIA - Enacol - Junção" sheetId="95" r:id="rId5"/>
    <sheet name="RIA - Vivo Energy - Junção" sheetId="96" r:id="rId6"/>
    <sheet name="DR para a gestão - Enacol" sheetId="97" r:id="rId7"/>
    <sheet name="DR para a gestão - Vivo Energy" sheetId="98" r:id="rId8"/>
    <sheet name="Lista" sheetId="9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p" localSheetId="2">#REF!</definedName>
    <definedName name="\p" localSheetId="3">#REF!</definedName>
    <definedName name="\p">#REF!</definedName>
    <definedName name="Activo_corriente_X1">[1]ACTIVO!$B$35</definedName>
    <definedName name="Activo_corriente_X2">[1]ACTIVO!$D$35</definedName>
    <definedName name="Activo_corriente_X3">[1]ACTIVO!$F$35</definedName>
    <definedName name="Activo_corriente_X4">[1]ACTIVO!$H$35</definedName>
    <definedName name="Activo_corriente_X5">[1]ACTIVO!$J$35</definedName>
    <definedName name="_xlnm.Print_Area" localSheetId="2">CP_Resumo!$A$2:$I$23</definedName>
    <definedName name="_xlnm.Print_Area" localSheetId="6">'DR para a gestão - Enacol'!$A$3:$C$49</definedName>
    <definedName name="_xlnm.Print_Area" localSheetId="7">'DR para a gestão - Vivo Energy'!$A$3:$C$51</definedName>
    <definedName name="_xlnm.Print_Area" localSheetId="3">'Preço máximo de venda'!$A$1:$J$20</definedName>
    <definedName name="b">#REF!</definedName>
    <definedName name="conflito" localSheetId="2">#REF!</definedName>
    <definedName name="conflito" localSheetId="3">#REF!</definedName>
    <definedName name="conflito">#REF!</definedName>
    <definedName name="Currency">[2]Header!$H$18</definedName>
    <definedName name="Currency_Units">[2]Header!$H$19</definedName>
    <definedName name="D_X1" localSheetId="7">[3]Prognóstico!#REF!</definedName>
    <definedName name="D_X1">[4]Prognóstico!#REF!</definedName>
    <definedName name="D_X2" localSheetId="7">[3]Prognóstico!#REF!</definedName>
    <definedName name="D_X2">[4]Prognóstico!#REF!</definedName>
    <definedName name="D_X3" localSheetId="7">[3]Prognóstico!#REF!</definedName>
    <definedName name="D_X3">[4]Prognóstico!#REF!</definedName>
    <definedName name="D_X4" localSheetId="7">[3]Prognóstico!#REF!</definedName>
    <definedName name="D_X4">[4]Prognóstico!#REF!</definedName>
    <definedName name="D_X5" localSheetId="7">[3]Prognóstico!#REF!</definedName>
    <definedName name="D_X5">[4]Prognóstico!#REF!</definedName>
    <definedName name="Dividendos_X1">[1]Datos!$E$21</definedName>
    <definedName name="Dividendos_X2">[1]Datos!$F$21</definedName>
    <definedName name="Dividendos_X3">[1]Datos!$G$21</definedName>
    <definedName name="Dividendos_X4">[1]Datos!$H$21</definedName>
    <definedName name="Dividendos_X5">[1]Datos!$I$21</definedName>
    <definedName name="e">'[5]Allocation Keys'!$D$67:$AH$96</definedName>
    <definedName name="E_X1" localSheetId="7">[3]Prognóstico!#REF!</definedName>
    <definedName name="E_X1">[4]Prognóstico!#REF!</definedName>
    <definedName name="E_X2" localSheetId="7">[3]Prognóstico!#REF!</definedName>
    <definedName name="E_X2">[4]Prognóstico!#REF!</definedName>
    <definedName name="E_X3" localSheetId="7">[3]Prognóstico!#REF!</definedName>
    <definedName name="E_X3">[4]Prognóstico!#REF!</definedName>
    <definedName name="E_X4" localSheetId="7">[3]Prognóstico!#REF!</definedName>
    <definedName name="E_X4">[4]Prognóstico!#REF!</definedName>
    <definedName name="E_X5" localSheetId="7">[3]Prognóstico!#REF!</definedName>
    <definedName name="E_X5">[4]Prognóstico!#REF!</definedName>
    <definedName name="Fondo_Maniobra_Aparente_X1">[1]RATIOS!$B$10</definedName>
    <definedName name="Fondo_Maniobra_Aparente_X2">[1]RATIOS!$C$10</definedName>
    <definedName name="Fondo_Maniobra_Aparente_X3">[1]RATIOS!$D$10</definedName>
    <definedName name="Fondo_Maniobra_Aparente_X4">[1]RATIOS!$E$10</definedName>
    <definedName name="Fondo_Maniobra_Aparente_X5">[1]RATIOS!$F$10</definedName>
    <definedName name="Fondos_Propios_X1">'[1]PN Y PASIVO'!$B$8</definedName>
    <definedName name="Fondos_Propios_X2">'[1]PN Y PASIVO'!$D$8</definedName>
    <definedName name="Fondos_Propios_X3">'[1]PN Y PASIVO'!$F$8</definedName>
    <definedName name="Fondos_Propios_X4">'[1]PN Y PASIVO'!$H$8</definedName>
    <definedName name="Fondos_Propios_X5">'[1]PN Y PASIVO'!$J$8</definedName>
    <definedName name="Importe_neto_cifra_negocios_X1">[1]PyG!$B$8</definedName>
    <definedName name="Importe_neto_cifra_negocios_X2">[1]PyG!$E$8</definedName>
    <definedName name="Importe_neto_cifra_negocios_X3">[1]PyG!$H$8</definedName>
    <definedName name="Importe_neto_cifra_negocios_X4">[1]PyG!$K$8</definedName>
    <definedName name="Importe_neto_cifra_negocios_X5">[1]PyG!$N$8</definedName>
    <definedName name="kgy" localSheetId="2">#REF!</definedName>
    <definedName name="kgy" localSheetId="3">#REF!</definedName>
    <definedName name="kgy">#REF!</definedName>
    <definedName name="M_X1" localSheetId="7">[3]Prognóstico!#REF!</definedName>
    <definedName name="M_X1">[4]Prognóstico!#REF!</definedName>
    <definedName name="M_X2" localSheetId="7">[3]Prognóstico!#REF!</definedName>
    <definedName name="M_X2">[4]Prognóstico!#REF!</definedName>
    <definedName name="M_X3" localSheetId="7">[3]Prognóstico!#REF!</definedName>
    <definedName name="M_X3">[4]Prognóstico!#REF!</definedName>
    <definedName name="M_X4" localSheetId="7">[3]Prognóstico!#REF!</definedName>
    <definedName name="M_X4">[4]Prognóstico!#REF!</definedName>
    <definedName name="M_X5" localSheetId="7">[3]Prognóstico!#REF!</definedName>
    <definedName name="M_X5">[4]Prognóstico!#REF!</definedName>
    <definedName name="MKeys_COM">'[5]Allocation Keys'!$D$36:$AH$65</definedName>
    <definedName name="MKeys_Total">'[5]Allocation Keys'!$D$67:$AH$96</definedName>
    <definedName name="o" localSheetId="3">'Preço máximo de venda'!$A$7:$J$20</definedName>
    <definedName name="Pasivo_corriente_X1">'[1]PN Y PASIVO'!$B$44</definedName>
    <definedName name="Pasivo_corriente_X2">'[1]PN Y PASIVO'!$D$44</definedName>
    <definedName name="Pasivo_corriente_X3">'[1]PN Y PASIVO'!$F$44</definedName>
    <definedName name="Pasivo_corriente_X4">'[1]PN Y PASIVO'!$H$44</definedName>
    <definedName name="Pasivo_corriente_X5">'[1]PN Y PASIVO'!$J$44</definedName>
    <definedName name="Patrimonio_neto_X1">'[1]PN Y PASIVO'!$B$7</definedName>
    <definedName name="Patrimonio_neto_X2">'[1]PN Y PASIVO'!$D$7</definedName>
    <definedName name="Patrimonio_neto_X3">'[1]PN Y PASIVO'!$F$7</definedName>
    <definedName name="Patrimonio_neto_X4">'[1]PN Y PASIVO'!$H$7</definedName>
    <definedName name="Patrimonio_neto_X5">'[1]PN Y PASIVO'!$J$7</definedName>
    <definedName name="Print_Area" localSheetId="3">'Preço máximo de venda'!$A$1:$J$20</definedName>
    <definedName name="Print_Area_MI" localSheetId="2">#REF!</definedName>
    <definedName name="Print_Area_MI" localSheetId="3">#REF!</definedName>
    <definedName name="Print_Area_MI">#REF!</definedName>
    <definedName name="R_X1" localSheetId="7">[3]Prognóstico!#REF!</definedName>
    <definedName name="R_X1">[4]Prognóstico!#REF!</definedName>
    <definedName name="R_X2" localSheetId="7">[3]Prognóstico!#REF!</definedName>
    <definedName name="R_X2">[4]Prognóstico!#REF!</definedName>
    <definedName name="R_X3" localSheetId="7">[3]Prognóstico!#REF!</definedName>
    <definedName name="R_X3">[4]Prognóstico!#REF!</definedName>
    <definedName name="R_X4" localSheetId="7">[3]Prognóstico!#REF!</definedName>
    <definedName name="R_X4">[4]Prognóstico!#REF!</definedName>
    <definedName name="R_X5" localSheetId="7">[3]Prognóstico!#REF!</definedName>
    <definedName name="R_X5">[4]Prognóstico!#REF!</definedName>
    <definedName name="Reservas_X1">'[1]PN Y PASIVO'!$B$13</definedName>
    <definedName name="Reservas_X2">'[1]PN Y PASIVO'!$D$13</definedName>
    <definedName name="Reservas_X3">'[1]PN Y PASIVO'!$F$13</definedName>
    <definedName name="Reservas_X4">'[1]PN Y PASIVO'!$H$13</definedName>
    <definedName name="Reservas_X5">'[1]PN Y PASIVO'!$J$13</definedName>
    <definedName name="Resultado_ejercicio_pyg_X1">[1]PyG!$B$60</definedName>
    <definedName name="Resultado_ejercicio_pyg_X2">[1]PyG!$E$60</definedName>
    <definedName name="Resultado_ejercicio_pyg_X3">[1]PyG!$H$60</definedName>
    <definedName name="Resultado_ejercicio_pyg_X4">[1]PyG!$K$60</definedName>
    <definedName name="Resultado_ejercicio_pyg_X5">[1]PyG!$N$60</definedName>
    <definedName name="Resultado_explotacion_X1">[1]PyG!$B$36</definedName>
    <definedName name="Resultado_explotacion_X2">[1]PyG!$E$36</definedName>
    <definedName name="Resultado_explotacion_X3">[1]PyG!$H$36</definedName>
    <definedName name="Resultado_explotacion_X4">[1]PyG!$K$36</definedName>
    <definedName name="Resultado_explotacion_X5">[1]PyG!$N$36</definedName>
    <definedName name="Tital" localSheetId="2">'[6]CH.REPART.PL'!#REF!</definedName>
    <definedName name="Tital" localSheetId="3">'[6]CH.REPART.PL'!#REF!</definedName>
    <definedName name="Tital">'[6]CH.REPART.PL'!#REF!</definedName>
    <definedName name="Total_activo_X1">[1]ACTIVO!$B$68</definedName>
    <definedName name="Total_activo_X2">[1]ACTIVO!$D$68</definedName>
    <definedName name="Total_activo_X3">[1]ACTIVO!$F$68</definedName>
    <definedName name="Total_activo_X4">[1]ACTIVO!$H$68</definedName>
    <definedName name="Total_activo_X5">[1]ACTIVO!$J$68</definedName>
    <definedName name="Total_Aviation" localSheetId="2">'[6]CH.REPART.PL'!#REF!</definedName>
    <definedName name="Total_Aviation" localSheetId="3">'[6]CH.REPART.PL'!#REF!</definedName>
    <definedName name="Total_Aviation">'[6]CH.REPART.PL'!#REF!</definedName>
    <definedName name="Total_LPG" localSheetId="2">'[6]CH.REPART.PL'!#REF!</definedName>
    <definedName name="Total_LPG" localSheetId="3">'[6]CH.REPART.PL'!#REF!</definedName>
    <definedName name="Total_LPG">'[6]CH.REPART.PL'!#REF!</definedName>
    <definedName name="Total_Marine" localSheetId="2">'[6]CH.REPART.PL'!#REF!</definedName>
    <definedName name="Total_Marine" localSheetId="3">'[6]CH.REPART.PL'!#REF!</definedName>
    <definedName name="Total_Marine">'[6]CH.REPART.PL'!#REF!</definedName>
    <definedName name="Total_PN_pasivo_X1">'[1]PN Y PASIVO'!$B$63</definedName>
    <definedName name="Total_PN_pasivo_X2">'[1]PN Y PASIVO'!$D$63</definedName>
    <definedName name="Total_PN_pasivo_X3">'[1]PN Y PASIVO'!$F$63</definedName>
    <definedName name="Total_PN_pasivo_X4">'[1]PN Y PASIVO'!$H$63</definedName>
    <definedName name="Total_PN_pasivo_X5">'[1]PN Y PASIVO'!$J$63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4" i="93" l="1"/>
  <c r="C54" i="93"/>
  <c r="J71" i="76"/>
  <c r="I71" i="76"/>
  <c r="H71" i="76"/>
  <c r="G71" i="76"/>
  <c r="F71" i="76"/>
  <c r="E71" i="76"/>
  <c r="D71" i="76"/>
  <c r="C71" i="76"/>
  <c r="J56" i="76"/>
  <c r="I56" i="76"/>
  <c r="H56" i="76"/>
  <c r="G56" i="76"/>
  <c r="F56" i="76"/>
  <c r="E56" i="76"/>
  <c r="D56" i="76"/>
  <c r="C56" i="76"/>
  <c r="J41" i="76"/>
  <c r="I41" i="76"/>
  <c r="H41" i="76"/>
  <c r="G41" i="76"/>
  <c r="F41" i="76"/>
  <c r="E41" i="76"/>
  <c r="D41" i="76"/>
  <c r="C41" i="76"/>
  <c r="J26" i="76"/>
  <c r="I26" i="76"/>
  <c r="H26" i="76"/>
  <c r="G26" i="76"/>
  <c r="F26" i="76"/>
  <c r="E26" i="76"/>
  <c r="D26" i="76"/>
  <c r="C26" i="76"/>
  <c r="J11" i="76"/>
  <c r="I11" i="76"/>
  <c r="H11" i="76"/>
  <c r="G11" i="76"/>
  <c r="F11" i="76"/>
  <c r="E11" i="76"/>
  <c r="D11" i="76"/>
  <c r="C11" i="76"/>
  <c r="C34" i="98"/>
  <c r="B34" i="98"/>
  <c r="C18" i="98"/>
  <c r="B18" i="98"/>
  <c r="C14" i="98"/>
  <c r="B14" i="98"/>
  <c r="C13" i="98"/>
  <c r="C12" i="98"/>
  <c r="I11" i="98"/>
  <c r="H11" i="98"/>
  <c r="C11" i="98"/>
  <c r="I10" i="98"/>
  <c r="H10" i="98"/>
  <c r="F4" i="98"/>
  <c r="A3" i="98"/>
  <c r="C32" i="97"/>
  <c r="B32" i="97"/>
  <c r="C13" i="97"/>
  <c r="B13" i="97"/>
  <c r="C12" i="97"/>
  <c r="I11" i="97"/>
  <c r="H11" i="97"/>
  <c r="C11" i="97"/>
  <c r="I10" i="97"/>
  <c r="H10" i="97"/>
  <c r="F4" i="97"/>
  <c r="A3" i="97"/>
  <c r="B55" i="96"/>
  <c r="C55" i="96" s="1"/>
  <c r="D55" i="96" s="1"/>
  <c r="E55" i="96" s="1"/>
  <c r="I42" i="96"/>
  <c r="J42" i="96" s="1"/>
  <c r="K42" i="96" s="1"/>
  <c r="L42" i="96" s="1"/>
  <c r="B42" i="96"/>
  <c r="C42" i="96" s="1"/>
  <c r="D42" i="96" s="1"/>
  <c r="E42" i="96" s="1"/>
  <c r="L29" i="96"/>
  <c r="I29" i="96"/>
  <c r="J29" i="96" s="1"/>
  <c r="K29" i="96" s="1"/>
  <c r="B29" i="96"/>
  <c r="C29" i="96" s="1"/>
  <c r="D29" i="96" s="1"/>
  <c r="E29" i="96" s="1"/>
  <c r="B16" i="96"/>
  <c r="C16" i="96" s="1"/>
  <c r="D16" i="96" s="1"/>
  <c r="E16" i="96" s="1"/>
  <c r="I3" i="96"/>
  <c r="J3" i="96" s="1"/>
  <c r="K3" i="96" s="1"/>
  <c r="L3" i="96" s="1"/>
  <c r="B3" i="96"/>
  <c r="C3" i="96" s="1"/>
  <c r="D3" i="96" s="1"/>
  <c r="E3" i="96" s="1"/>
  <c r="E55" i="95"/>
  <c r="B55" i="95"/>
  <c r="C55" i="95" s="1"/>
  <c r="D55" i="95" s="1"/>
  <c r="I42" i="95"/>
  <c r="J42" i="95" s="1"/>
  <c r="K42" i="95" s="1"/>
  <c r="L42" i="95" s="1"/>
  <c r="B42" i="95"/>
  <c r="C42" i="95" s="1"/>
  <c r="D42" i="95" s="1"/>
  <c r="E42" i="95" s="1"/>
  <c r="I29" i="95"/>
  <c r="J29" i="95" s="1"/>
  <c r="K29" i="95" s="1"/>
  <c r="L29" i="95" s="1"/>
  <c r="B29" i="95"/>
  <c r="C29" i="95" s="1"/>
  <c r="D29" i="95" s="1"/>
  <c r="E29" i="95" s="1"/>
  <c r="B16" i="95"/>
  <c r="C16" i="95" s="1"/>
  <c r="D16" i="95" s="1"/>
  <c r="E16" i="95" s="1"/>
  <c r="I3" i="95"/>
  <c r="J3" i="95" s="1"/>
  <c r="K3" i="95" s="1"/>
  <c r="L3" i="95" s="1"/>
  <c r="B3" i="95"/>
  <c r="C3" i="95" s="1"/>
  <c r="D3" i="95" s="1"/>
  <c r="E3" i="95" s="1"/>
  <c r="D35" i="94" l="1"/>
  <c r="D34" i="94"/>
  <c r="D33" i="94"/>
  <c r="D32" i="94"/>
  <c r="E32" i="94" s="1"/>
  <c r="H32" i="94" s="1"/>
  <c r="D31" i="94"/>
  <c r="D30" i="94"/>
  <c r="D29" i="94"/>
  <c r="E29" i="94" s="1"/>
  <c r="D28" i="94"/>
  <c r="E28" i="94" s="1"/>
  <c r="F28" i="94" s="1"/>
  <c r="D23" i="94"/>
  <c r="D22" i="94"/>
  <c r="D21" i="94"/>
  <c r="D20" i="94"/>
  <c r="E20" i="94" s="1"/>
  <c r="F20" i="94" s="1"/>
  <c r="D19" i="94"/>
  <c r="D18" i="94"/>
  <c r="D17" i="94"/>
  <c r="D16" i="94"/>
  <c r="E16" i="94" s="1"/>
  <c r="F16" i="94" s="1"/>
  <c r="D11" i="94"/>
  <c r="D10" i="94"/>
  <c r="D9" i="94"/>
  <c r="D8" i="94"/>
  <c r="E8" i="94" s="1"/>
  <c r="F8" i="94" s="1"/>
  <c r="D7" i="94"/>
  <c r="D6" i="94"/>
  <c r="D5" i="94"/>
  <c r="E5" i="94" s="1"/>
  <c r="D4" i="94"/>
  <c r="E4" i="94"/>
  <c r="F4" i="94" s="1"/>
  <c r="E35" i="94"/>
  <c r="F35" i="94" s="1"/>
  <c r="E34" i="94"/>
  <c r="F34" i="94" s="1"/>
  <c r="E33" i="94"/>
  <c r="H33" i="94" s="1"/>
  <c r="E31" i="94"/>
  <c r="F31" i="94" s="1"/>
  <c r="E30" i="94"/>
  <c r="F30" i="94" s="1"/>
  <c r="E23" i="94"/>
  <c r="F23" i="94" s="1"/>
  <c r="E22" i="94"/>
  <c r="F22" i="94" s="1"/>
  <c r="E21" i="94"/>
  <c r="F21" i="94" s="1"/>
  <c r="E19" i="94"/>
  <c r="H19" i="94" s="1"/>
  <c r="E18" i="94"/>
  <c r="F18" i="94" s="1"/>
  <c r="E17" i="94"/>
  <c r="H17" i="94" s="1"/>
  <c r="E11" i="94"/>
  <c r="H11" i="94" s="1"/>
  <c r="E10" i="94"/>
  <c r="F10" i="94" s="1"/>
  <c r="E9" i="94"/>
  <c r="E7" i="94"/>
  <c r="H7" i="94" s="1"/>
  <c r="E6" i="94"/>
  <c r="F6" i="94" s="1"/>
  <c r="C57" i="94"/>
  <c r="B57" i="94"/>
  <c r="C56" i="94"/>
  <c r="C67" i="94" s="1"/>
  <c r="B56" i="94"/>
  <c r="C55" i="94"/>
  <c r="B55" i="94"/>
  <c r="G54" i="94"/>
  <c r="C54" i="94"/>
  <c r="B54" i="94"/>
  <c r="C53" i="94"/>
  <c r="B53" i="94"/>
  <c r="C52" i="94"/>
  <c r="B52" i="94"/>
  <c r="C51" i="94"/>
  <c r="B51" i="94"/>
  <c r="C50" i="94"/>
  <c r="B50" i="94"/>
  <c r="C46" i="94"/>
  <c r="B46" i="94"/>
  <c r="B68" i="94" s="1"/>
  <c r="C45" i="94"/>
  <c r="B45" i="94"/>
  <c r="C44" i="94"/>
  <c r="B44" i="94"/>
  <c r="B66" i="94" s="1"/>
  <c r="C43" i="94"/>
  <c r="B43" i="94"/>
  <c r="C42" i="94"/>
  <c r="B42" i="94"/>
  <c r="C41" i="94"/>
  <c r="B41" i="94"/>
  <c r="C40" i="94"/>
  <c r="B40" i="94"/>
  <c r="B62" i="94" s="1"/>
  <c r="C39" i="94"/>
  <c r="G39" i="94" s="1"/>
  <c r="B39" i="94"/>
  <c r="G35" i="94"/>
  <c r="G34" i="94"/>
  <c r="G33" i="94"/>
  <c r="G32" i="94"/>
  <c r="G31" i="94"/>
  <c r="G30" i="94"/>
  <c r="G29" i="94"/>
  <c r="G28" i="94"/>
  <c r="H27" i="94"/>
  <c r="H38" i="94" s="1"/>
  <c r="H49" i="94" s="1"/>
  <c r="H60" i="94" s="1"/>
  <c r="G23" i="94"/>
  <c r="G22" i="94"/>
  <c r="G21" i="94"/>
  <c r="G20" i="94"/>
  <c r="G19" i="94"/>
  <c r="F19" i="94"/>
  <c r="G18" i="94"/>
  <c r="G17" i="94"/>
  <c r="G16" i="94"/>
  <c r="H15" i="94"/>
  <c r="F15" i="94"/>
  <c r="F27" i="94" s="1"/>
  <c r="F38" i="94" s="1"/>
  <c r="F49" i="94" s="1"/>
  <c r="F60" i="94" s="1"/>
  <c r="E15" i="94"/>
  <c r="E27" i="94" s="1"/>
  <c r="E38" i="94" s="1"/>
  <c r="E49" i="94" s="1"/>
  <c r="E60" i="94" s="1"/>
  <c r="D38" i="94"/>
  <c r="D49" i="94" s="1"/>
  <c r="D60" i="94" s="1"/>
  <c r="C15" i="94"/>
  <c r="C27" i="94" s="1"/>
  <c r="C38" i="94" s="1"/>
  <c r="C49" i="94" s="1"/>
  <c r="C60" i="94" s="1"/>
  <c r="B15" i="94"/>
  <c r="B27" i="94" s="1"/>
  <c r="B38" i="94" s="1"/>
  <c r="B49" i="94" s="1"/>
  <c r="B60" i="94" s="1"/>
  <c r="G11" i="94"/>
  <c r="G10" i="94"/>
  <c r="G9" i="94"/>
  <c r="G8" i="94"/>
  <c r="G7" i="94"/>
  <c r="G6" i="94"/>
  <c r="G5" i="94"/>
  <c r="G4" i="94"/>
  <c r="I92" i="93"/>
  <c r="H92" i="93"/>
  <c r="G92" i="93"/>
  <c r="F92" i="93"/>
  <c r="E92" i="93"/>
  <c r="D92" i="93"/>
  <c r="C92" i="93"/>
  <c r="B92" i="93"/>
  <c r="I83" i="93"/>
  <c r="H83" i="93"/>
  <c r="G83" i="93"/>
  <c r="F83" i="93"/>
  <c r="E83" i="93"/>
  <c r="D83" i="93"/>
  <c r="C83" i="93"/>
  <c r="B83" i="93"/>
  <c r="B57" i="93"/>
  <c r="B60" i="93"/>
  <c r="I74" i="93"/>
  <c r="H74" i="93"/>
  <c r="G74" i="93"/>
  <c r="F74" i="93"/>
  <c r="E74" i="93"/>
  <c r="D74" i="93"/>
  <c r="C74" i="93"/>
  <c r="B74" i="93"/>
  <c r="C57" i="93"/>
  <c r="D57" i="93"/>
  <c r="E57" i="93"/>
  <c r="F57" i="93"/>
  <c r="G57" i="93"/>
  <c r="H57" i="93"/>
  <c r="I57" i="93"/>
  <c r="I65" i="93"/>
  <c r="H65" i="93"/>
  <c r="G65" i="93"/>
  <c r="F65" i="93"/>
  <c r="E65" i="93"/>
  <c r="D65" i="93"/>
  <c r="C65" i="93"/>
  <c r="B65" i="93"/>
  <c r="I56" i="93"/>
  <c r="H56" i="93"/>
  <c r="G56" i="93"/>
  <c r="F56" i="93"/>
  <c r="E56" i="93"/>
  <c r="D56" i="93"/>
  <c r="C56" i="93"/>
  <c r="C58" i="93" s="1"/>
  <c r="B56" i="93"/>
  <c r="F17" i="94" l="1"/>
  <c r="H23" i="94"/>
  <c r="B61" i="94"/>
  <c r="B63" i="94"/>
  <c r="B65" i="94"/>
  <c r="G41" i="94"/>
  <c r="G43" i="94"/>
  <c r="G45" i="94"/>
  <c r="G50" i="94"/>
  <c r="G52" i="94"/>
  <c r="F33" i="94"/>
  <c r="C61" i="94"/>
  <c r="G61" i="94" s="1"/>
  <c r="B64" i="94"/>
  <c r="G56" i="94"/>
  <c r="C63" i="94"/>
  <c r="C65" i="94"/>
  <c r="G65" i="94" s="1"/>
  <c r="B67" i="94"/>
  <c r="G67" i="94" s="1"/>
  <c r="H29" i="94"/>
  <c r="F29" i="94"/>
  <c r="H21" i="94"/>
  <c r="E52" i="94"/>
  <c r="H18" i="94"/>
  <c r="H28" i="94"/>
  <c r="F32" i="94"/>
  <c r="E50" i="94"/>
  <c r="F50" i="94" s="1"/>
  <c r="E54" i="94"/>
  <c r="F54" i="94" s="1"/>
  <c r="H20" i="94"/>
  <c r="H16" i="94"/>
  <c r="H8" i="94"/>
  <c r="H4" i="94"/>
  <c r="H22" i="94"/>
  <c r="E56" i="94"/>
  <c r="E39" i="94"/>
  <c r="B93" i="93" s="1"/>
  <c r="B94" i="93" s="1"/>
  <c r="C72" i="76" s="1"/>
  <c r="E41" i="94"/>
  <c r="E43" i="94"/>
  <c r="F93" i="93" s="1"/>
  <c r="F94" i="93" s="1"/>
  <c r="E45" i="94"/>
  <c r="H93" i="93" s="1"/>
  <c r="H94" i="93" s="1"/>
  <c r="I72" i="76" s="1"/>
  <c r="E40" i="94"/>
  <c r="C93" i="93" s="1"/>
  <c r="C94" i="93" s="1"/>
  <c r="F5" i="94"/>
  <c r="E44" i="94"/>
  <c r="G93" i="93" s="1"/>
  <c r="G94" i="93" s="1"/>
  <c r="H72" i="76" s="1"/>
  <c r="F9" i="94"/>
  <c r="G40" i="94"/>
  <c r="G42" i="94"/>
  <c r="G44" i="94"/>
  <c r="G46" i="94"/>
  <c r="H6" i="94"/>
  <c r="H10" i="94"/>
  <c r="H31" i="94"/>
  <c r="H35" i="94"/>
  <c r="G51" i="94"/>
  <c r="C62" i="94"/>
  <c r="G62" i="94" s="1"/>
  <c r="G53" i="94"/>
  <c r="C64" i="94"/>
  <c r="G64" i="94" s="1"/>
  <c r="G55" i="94"/>
  <c r="C66" i="94"/>
  <c r="G66" i="94" s="1"/>
  <c r="G57" i="94"/>
  <c r="C68" i="94"/>
  <c r="G68" i="94" s="1"/>
  <c r="H5" i="94"/>
  <c r="E42" i="94"/>
  <c r="E93" i="93" s="1"/>
  <c r="E94" i="93" s="1"/>
  <c r="F72" i="76" s="1"/>
  <c r="F7" i="94"/>
  <c r="H9" i="94"/>
  <c r="E46" i="94"/>
  <c r="I93" i="93" s="1"/>
  <c r="I94" i="93" s="1"/>
  <c r="F11" i="94"/>
  <c r="H30" i="94"/>
  <c r="H34" i="94"/>
  <c r="E51" i="94"/>
  <c r="C96" i="93" s="1"/>
  <c r="C97" i="93" s="1"/>
  <c r="D73" i="76" s="1"/>
  <c r="F52" i="94"/>
  <c r="E53" i="94"/>
  <c r="E96" i="93" s="1"/>
  <c r="E97" i="93" s="1"/>
  <c r="F73" i="76" s="1"/>
  <c r="E55" i="94"/>
  <c r="G96" i="93" s="1"/>
  <c r="G97" i="93" s="1"/>
  <c r="H73" i="76" s="1"/>
  <c r="E57" i="94"/>
  <c r="I96" i="93" s="1"/>
  <c r="I97" i="93" s="1"/>
  <c r="J73" i="76" s="1"/>
  <c r="F58" i="93"/>
  <c r="D58" i="93"/>
  <c r="H58" i="93"/>
  <c r="G58" i="93"/>
  <c r="E58" i="93"/>
  <c r="I58" i="93"/>
  <c r="G63" i="94" l="1"/>
  <c r="H54" i="94"/>
  <c r="F96" i="93"/>
  <c r="F97" i="93" s="1"/>
  <c r="G73" i="76" s="1"/>
  <c r="H52" i="94"/>
  <c r="D96" i="93"/>
  <c r="D97" i="93" s="1"/>
  <c r="E73" i="76" s="1"/>
  <c r="G72" i="76"/>
  <c r="I90" i="93"/>
  <c r="J72" i="76"/>
  <c r="D72" i="76"/>
  <c r="C90" i="93"/>
  <c r="E63" i="94"/>
  <c r="D93" i="93"/>
  <c r="D94" i="93" s="1"/>
  <c r="H56" i="94"/>
  <c r="H96" i="93"/>
  <c r="H97" i="93" s="1"/>
  <c r="G90" i="93"/>
  <c r="H50" i="94"/>
  <c r="B96" i="93"/>
  <c r="B97" i="93" s="1"/>
  <c r="C73" i="76" s="1"/>
  <c r="E61" i="94"/>
  <c r="F61" i="94" s="1"/>
  <c r="E90" i="93"/>
  <c r="F56" i="94"/>
  <c r="E67" i="94"/>
  <c r="F67" i="94" s="1"/>
  <c r="E62" i="94"/>
  <c r="F51" i="94"/>
  <c r="H51" i="94"/>
  <c r="F45" i="94"/>
  <c r="H45" i="94"/>
  <c r="F63" i="94"/>
  <c r="H63" i="94"/>
  <c r="H46" i="94"/>
  <c r="F46" i="94"/>
  <c r="H44" i="94"/>
  <c r="F44" i="94"/>
  <c r="F43" i="94"/>
  <c r="H43" i="94"/>
  <c r="E66" i="94"/>
  <c r="F55" i="94"/>
  <c r="H55" i="94"/>
  <c r="H42" i="94"/>
  <c r="F42" i="94"/>
  <c r="E68" i="94"/>
  <c r="F57" i="94"/>
  <c r="H57" i="94"/>
  <c r="E65" i="94"/>
  <c r="F41" i="94"/>
  <c r="H41" i="94"/>
  <c r="E64" i="94"/>
  <c r="F53" i="94"/>
  <c r="H53" i="94"/>
  <c r="H40" i="94"/>
  <c r="F40" i="94"/>
  <c r="F39" i="94"/>
  <c r="H39" i="94"/>
  <c r="H67" i="94" l="1"/>
  <c r="F90" i="93"/>
  <c r="D90" i="93"/>
  <c r="E72" i="76"/>
  <c r="I73" i="76"/>
  <c r="H90" i="93"/>
  <c r="B90" i="93"/>
  <c r="H61" i="94"/>
  <c r="H68" i="94"/>
  <c r="F68" i="94"/>
  <c r="F65" i="94"/>
  <c r="H65" i="94"/>
  <c r="H66" i="94"/>
  <c r="F66" i="94"/>
  <c r="H64" i="94"/>
  <c r="F64" i="94"/>
  <c r="H62" i="94"/>
  <c r="F62" i="94"/>
  <c r="H78" i="93" l="1"/>
  <c r="H75" i="93"/>
  <c r="G78" i="93"/>
  <c r="G75" i="93"/>
  <c r="F78" i="93"/>
  <c r="F75" i="93"/>
  <c r="E78" i="93"/>
  <c r="E75" i="93"/>
  <c r="D78" i="93"/>
  <c r="D75" i="93"/>
  <c r="C78" i="93"/>
  <c r="C75" i="93"/>
  <c r="B78" i="93"/>
  <c r="B75" i="93"/>
  <c r="I78" i="93"/>
  <c r="I75" i="93"/>
  <c r="I69" i="93"/>
  <c r="G69" i="93"/>
  <c r="H69" i="93"/>
  <c r="F69" i="93"/>
  <c r="E69" i="93"/>
  <c r="D69" i="93"/>
  <c r="C69" i="93"/>
  <c r="B69" i="93"/>
  <c r="I66" i="93"/>
  <c r="H66" i="93"/>
  <c r="G66" i="93"/>
  <c r="F66" i="93"/>
  <c r="E66" i="93"/>
  <c r="D66" i="93"/>
  <c r="C66" i="93"/>
  <c r="B66" i="93"/>
  <c r="I60" i="93"/>
  <c r="I61" i="93" s="1"/>
  <c r="H60" i="93"/>
  <c r="H61" i="93" s="1"/>
  <c r="G60" i="93"/>
  <c r="G61" i="93" s="1"/>
  <c r="F60" i="93"/>
  <c r="F61" i="93" s="1"/>
  <c r="E60" i="93"/>
  <c r="E61" i="93" s="1"/>
  <c r="D60" i="93"/>
  <c r="D61" i="93" s="1"/>
  <c r="C60" i="93"/>
  <c r="C61" i="93" s="1"/>
  <c r="B61" i="93"/>
  <c r="C13" i="76" s="1"/>
  <c r="J12" i="76"/>
  <c r="I12" i="76"/>
  <c r="H12" i="76"/>
  <c r="G12" i="76"/>
  <c r="F12" i="76"/>
  <c r="E12" i="76"/>
  <c r="D12" i="76"/>
  <c r="B58" i="93"/>
  <c r="B42" i="93"/>
  <c r="I48" i="93"/>
  <c r="H48" i="93"/>
  <c r="G48" i="93"/>
  <c r="F48" i="93"/>
  <c r="E48" i="93"/>
  <c r="D48" i="93"/>
  <c r="B48" i="93"/>
  <c r="I47" i="93"/>
  <c r="H47" i="93"/>
  <c r="G47" i="93"/>
  <c r="F47" i="93"/>
  <c r="E47" i="93"/>
  <c r="D47" i="93"/>
  <c r="B47" i="93"/>
  <c r="I46" i="93"/>
  <c r="H46" i="93"/>
  <c r="G46" i="93"/>
  <c r="F46" i="93"/>
  <c r="E46" i="93"/>
  <c r="D46" i="93"/>
  <c r="B46" i="93"/>
  <c r="I45" i="93"/>
  <c r="H45" i="93"/>
  <c r="G45" i="93"/>
  <c r="F45" i="93"/>
  <c r="E45" i="93"/>
  <c r="D45" i="93"/>
  <c r="B45" i="93"/>
  <c r="I44" i="93"/>
  <c r="H44" i="93"/>
  <c r="G44" i="93"/>
  <c r="F44" i="93"/>
  <c r="E44" i="93"/>
  <c r="D44" i="93"/>
  <c r="B44" i="93"/>
  <c r="I43" i="93"/>
  <c r="H43" i="93"/>
  <c r="G43" i="93"/>
  <c r="F43" i="93"/>
  <c r="E43" i="93"/>
  <c r="D43" i="93"/>
  <c r="B43" i="93"/>
  <c r="I42" i="93"/>
  <c r="H42" i="93"/>
  <c r="G42" i="93"/>
  <c r="F42" i="93"/>
  <c r="E42" i="93"/>
  <c r="D42" i="93"/>
  <c r="C42" i="93"/>
  <c r="C84" i="93" l="1"/>
  <c r="B84" i="93"/>
  <c r="H13" i="76"/>
  <c r="G54" i="93"/>
  <c r="I79" i="93"/>
  <c r="J43" i="76" s="1"/>
  <c r="C79" i="93"/>
  <c r="D43" i="76" s="1"/>
  <c r="G79" i="93"/>
  <c r="H43" i="76" s="1"/>
  <c r="I13" i="76"/>
  <c r="H54" i="93"/>
  <c r="D76" i="93"/>
  <c r="H76" i="93"/>
  <c r="I42" i="76" s="1"/>
  <c r="F13" i="76"/>
  <c r="E54" i="93"/>
  <c r="J13" i="76"/>
  <c r="I54" i="93"/>
  <c r="B79" i="93"/>
  <c r="C43" i="76" s="1"/>
  <c r="D79" i="93"/>
  <c r="E43" i="76" s="1"/>
  <c r="F79" i="93"/>
  <c r="G43" i="76" s="1"/>
  <c r="H79" i="93"/>
  <c r="I43" i="76" s="1"/>
  <c r="D13" i="76"/>
  <c r="E79" i="93"/>
  <c r="F43" i="76" s="1"/>
  <c r="E13" i="76"/>
  <c r="D54" i="93"/>
  <c r="B76" i="93"/>
  <c r="C42" i="76" s="1"/>
  <c r="F76" i="93"/>
  <c r="G13" i="76"/>
  <c r="F54" i="93"/>
  <c r="I76" i="93"/>
  <c r="C76" i="93"/>
  <c r="E76" i="93"/>
  <c r="G76" i="93"/>
  <c r="H42" i="76" s="1"/>
  <c r="C12" i="76"/>
  <c r="E84" i="93"/>
  <c r="G67" i="93"/>
  <c r="H27" i="76" s="1"/>
  <c r="D67" i="93"/>
  <c r="E27" i="76" s="1"/>
  <c r="H67" i="93"/>
  <c r="I27" i="76" s="1"/>
  <c r="D70" i="93"/>
  <c r="E28" i="76" s="1"/>
  <c r="G70" i="93"/>
  <c r="H28" i="76" s="1"/>
  <c r="C67" i="93"/>
  <c r="D27" i="76" s="1"/>
  <c r="C70" i="93"/>
  <c r="D28" i="76" s="1"/>
  <c r="H70" i="93"/>
  <c r="I28" i="76" s="1"/>
  <c r="E67" i="93"/>
  <c r="F27" i="76" s="1"/>
  <c r="I67" i="93"/>
  <c r="J27" i="76" s="1"/>
  <c r="E70" i="93"/>
  <c r="F28" i="76" s="1"/>
  <c r="I70" i="93"/>
  <c r="J28" i="76" s="1"/>
  <c r="B67" i="93"/>
  <c r="C27" i="76" s="1"/>
  <c r="F67" i="93"/>
  <c r="G27" i="76" s="1"/>
  <c r="B70" i="93"/>
  <c r="C28" i="76" s="1"/>
  <c r="F70" i="93"/>
  <c r="G28" i="76" s="1"/>
  <c r="E87" i="93"/>
  <c r="D84" i="93"/>
  <c r="D87" i="93"/>
  <c r="F84" i="93"/>
  <c r="I87" i="93"/>
  <c r="C87" i="93"/>
  <c r="G87" i="93"/>
  <c r="I84" i="93"/>
  <c r="B87" i="93"/>
  <c r="F87" i="93"/>
  <c r="G84" i="93"/>
  <c r="H87" i="93"/>
  <c r="H84" i="93"/>
  <c r="I72" i="93" l="1"/>
  <c r="J42" i="76"/>
  <c r="E72" i="93"/>
  <c r="F42" i="76"/>
  <c r="C72" i="93"/>
  <c r="D42" i="76"/>
  <c r="F72" i="93"/>
  <c r="G42" i="76"/>
  <c r="D72" i="93"/>
  <c r="E42" i="76"/>
  <c r="H63" i="93"/>
  <c r="C88" i="93"/>
  <c r="D58" i="76" s="1"/>
  <c r="H88" i="93"/>
  <c r="I58" i="76" s="1"/>
  <c r="B88" i="93"/>
  <c r="C58" i="76" s="1"/>
  <c r="B63" i="93"/>
  <c r="D88" i="93"/>
  <c r="E58" i="76" s="1"/>
  <c r="I88" i="93"/>
  <c r="J58" i="76" s="1"/>
  <c r="E88" i="93"/>
  <c r="F58" i="76" s="1"/>
  <c r="F88" i="93"/>
  <c r="G58" i="76" s="1"/>
  <c r="G88" i="93"/>
  <c r="H58" i="76" s="1"/>
  <c r="H85" i="93"/>
  <c r="I57" i="76" s="1"/>
  <c r="I59" i="76" s="1"/>
  <c r="I62" i="76" s="1"/>
  <c r="I64" i="76" s="1"/>
  <c r="C85" i="93"/>
  <c r="D57" i="76" s="1"/>
  <c r="D85" i="93"/>
  <c r="E63" i="93"/>
  <c r="G63" i="93"/>
  <c r="B85" i="93"/>
  <c r="G85" i="93"/>
  <c r="I85" i="93"/>
  <c r="G72" i="93"/>
  <c r="B72" i="93"/>
  <c r="H72" i="93"/>
  <c r="F85" i="93"/>
  <c r="G57" i="76" s="1"/>
  <c r="G59" i="76" s="1"/>
  <c r="G62" i="76" s="1"/>
  <c r="G64" i="76" s="1"/>
  <c r="F63" i="93"/>
  <c r="I63" i="93"/>
  <c r="C63" i="93"/>
  <c r="D63" i="93"/>
  <c r="E85" i="93"/>
  <c r="L50" i="96" l="1"/>
  <c r="L50" i="95"/>
  <c r="K50" i="96"/>
  <c r="K50" i="95"/>
  <c r="J50" i="96"/>
  <c r="J50" i="95"/>
  <c r="I50" i="96"/>
  <c r="I50" i="95"/>
  <c r="L47" i="96"/>
  <c r="L47" i="95"/>
  <c r="K47" i="96"/>
  <c r="K47" i="95"/>
  <c r="J47" i="96"/>
  <c r="J47" i="95"/>
  <c r="I47" i="96"/>
  <c r="I47" i="95"/>
  <c r="D59" i="76"/>
  <c r="D62" i="76" s="1"/>
  <c r="D64" i="76" s="1"/>
  <c r="E81" i="93"/>
  <c r="F57" i="76"/>
  <c r="F59" i="76" s="1"/>
  <c r="F62" i="76" s="1"/>
  <c r="F64" i="76" s="1"/>
  <c r="I81" i="93"/>
  <c r="J57" i="76"/>
  <c r="J59" i="76" s="1"/>
  <c r="J62" i="76" s="1"/>
  <c r="J64" i="76" s="1"/>
  <c r="G81" i="93"/>
  <c r="H57" i="76"/>
  <c r="H59" i="76" s="1"/>
  <c r="H62" i="76" s="1"/>
  <c r="H64" i="76" s="1"/>
  <c r="D81" i="93"/>
  <c r="E57" i="76"/>
  <c r="E59" i="76" s="1"/>
  <c r="E62" i="76" s="1"/>
  <c r="E64" i="76" s="1"/>
  <c r="B81" i="93"/>
  <c r="C57" i="76"/>
  <c r="C59" i="76" s="1"/>
  <c r="C62" i="76" s="1"/>
  <c r="C64" i="76" s="1"/>
  <c r="C81" i="93"/>
  <c r="F81" i="93"/>
  <c r="H81" i="93"/>
  <c r="L45" i="96" l="1"/>
  <c r="L45" i="95"/>
  <c r="K45" i="96"/>
  <c r="K45" i="95"/>
  <c r="J45" i="96"/>
  <c r="J45" i="95"/>
  <c r="I45" i="96"/>
  <c r="I45" i="95"/>
  <c r="L44" i="96"/>
  <c r="L44" i="95"/>
  <c r="K44" i="96"/>
  <c r="K44" i="95"/>
  <c r="J44" i="96"/>
  <c r="J44" i="95"/>
  <c r="I44" i="96"/>
  <c r="I44" i="95"/>
  <c r="L48" i="96"/>
  <c r="L48" i="95"/>
  <c r="K48" i="96"/>
  <c r="K48" i="95"/>
  <c r="J48" i="96"/>
  <c r="J48" i="95"/>
  <c r="I48" i="96"/>
  <c r="I48" i="95"/>
  <c r="L46" i="96"/>
  <c r="L46" i="95"/>
  <c r="K46" i="96"/>
  <c r="K46" i="95"/>
  <c r="J46" i="96"/>
  <c r="J46" i="95"/>
  <c r="I46" i="96"/>
  <c r="I46" i="95"/>
  <c r="L43" i="96"/>
  <c r="L43" i="95"/>
  <c r="K43" i="96"/>
  <c r="K43" i="95"/>
  <c r="J43" i="96"/>
  <c r="J43" i="95"/>
  <c r="I43" i="96"/>
  <c r="I43" i="95"/>
  <c r="L49" i="96"/>
  <c r="L49" i="95"/>
  <c r="K49" i="96"/>
  <c r="K49" i="95"/>
  <c r="J49" i="96"/>
  <c r="J49" i="95"/>
  <c r="I49" i="96"/>
  <c r="I49" i="95"/>
  <c r="I51" i="95" l="1"/>
  <c r="I51" i="96"/>
  <c r="K51" i="96"/>
  <c r="K51" i="95"/>
  <c r="L51" i="95"/>
  <c r="J51" i="95"/>
  <c r="J51" i="96"/>
  <c r="L51" i="96"/>
  <c r="C74" i="76" l="1"/>
  <c r="D44" i="76"/>
  <c r="C77" i="76" l="1"/>
  <c r="C79" i="76" s="1"/>
  <c r="D74" i="76"/>
  <c r="D77" i="76" s="1"/>
  <c r="D79" i="76" s="1"/>
  <c r="H74" i="76"/>
  <c r="H77" i="76" s="1"/>
  <c r="H79" i="76" s="1"/>
  <c r="G74" i="76"/>
  <c r="G77" i="76" s="1"/>
  <c r="G79" i="76" s="1"/>
  <c r="E74" i="76"/>
  <c r="E77" i="76" s="1"/>
  <c r="E79" i="76" s="1"/>
  <c r="I74" i="76"/>
  <c r="I77" i="76" s="1"/>
  <c r="I79" i="76" s="1"/>
  <c r="F74" i="76"/>
  <c r="F77" i="76" s="1"/>
  <c r="F79" i="76" s="1"/>
  <c r="J74" i="76"/>
  <c r="J77" i="76" s="1"/>
  <c r="J79" i="76" s="1"/>
  <c r="G44" i="76"/>
  <c r="G47" i="76" s="1"/>
  <c r="G49" i="76" s="1"/>
  <c r="H44" i="76"/>
  <c r="H47" i="76" s="1"/>
  <c r="H49" i="76" s="1"/>
  <c r="D47" i="76"/>
  <c r="D49" i="76" s="1"/>
  <c r="E44" i="76"/>
  <c r="E47" i="76" s="1"/>
  <c r="E49" i="76" s="1"/>
  <c r="I44" i="76"/>
  <c r="I47" i="76" s="1"/>
  <c r="I49" i="76" s="1"/>
  <c r="C44" i="76"/>
  <c r="C47" i="76" s="1"/>
  <c r="C49" i="76" s="1"/>
  <c r="F44" i="76"/>
  <c r="F47" i="76" s="1"/>
  <c r="F49" i="76" s="1"/>
  <c r="J44" i="76"/>
  <c r="J47" i="76" s="1"/>
  <c r="J49" i="76" s="1"/>
  <c r="C29" i="76"/>
  <c r="C32" i="76" s="1"/>
  <c r="C34" i="76" s="1"/>
  <c r="G29" i="76"/>
  <c r="G32" i="76" s="1"/>
  <c r="G34" i="76" s="1"/>
  <c r="D29" i="76"/>
  <c r="D32" i="76" s="1"/>
  <c r="D34" i="76" s="1"/>
  <c r="H29" i="76"/>
  <c r="H32" i="76" s="1"/>
  <c r="H34" i="76" s="1"/>
  <c r="E29" i="76"/>
  <c r="E32" i="76" s="1"/>
  <c r="E34" i="76" s="1"/>
  <c r="I29" i="76"/>
  <c r="I32" i="76" s="1"/>
  <c r="I34" i="76" s="1"/>
  <c r="F29" i="76"/>
  <c r="F32" i="76" s="1"/>
  <c r="F34" i="76" s="1"/>
  <c r="J29" i="76"/>
  <c r="J32" i="76" s="1"/>
  <c r="J34" i="76" s="1"/>
  <c r="E49" i="96" l="1"/>
  <c r="E49" i="95"/>
  <c r="D49" i="96"/>
  <c r="D49" i="95"/>
  <c r="C49" i="96"/>
  <c r="C49" i="95"/>
  <c r="B49" i="96"/>
  <c r="B49" i="95"/>
  <c r="E60" i="96"/>
  <c r="E60" i="95"/>
  <c r="D60" i="96"/>
  <c r="D60" i="95"/>
  <c r="C60" i="96"/>
  <c r="C60" i="95"/>
  <c r="B60" i="96"/>
  <c r="B60" i="95"/>
  <c r="L33" i="96"/>
  <c r="L33" i="95"/>
  <c r="K33" i="96"/>
  <c r="K33" i="95"/>
  <c r="J33" i="96"/>
  <c r="J33" i="95"/>
  <c r="I33" i="96"/>
  <c r="I33" i="95"/>
  <c r="L31" i="96"/>
  <c r="L31" i="95"/>
  <c r="K31" i="96"/>
  <c r="K31" i="95"/>
  <c r="J31" i="96"/>
  <c r="J31" i="95"/>
  <c r="I31" i="96"/>
  <c r="I31" i="95"/>
  <c r="E46" i="96"/>
  <c r="E46" i="95"/>
  <c r="D46" i="96"/>
  <c r="D46" i="95"/>
  <c r="C46" i="96"/>
  <c r="C46" i="95"/>
  <c r="B46" i="96"/>
  <c r="B46" i="95"/>
  <c r="E44" i="96"/>
  <c r="E44" i="95"/>
  <c r="D44" i="96"/>
  <c r="D44" i="95"/>
  <c r="C44" i="96"/>
  <c r="C44" i="95"/>
  <c r="B44" i="96"/>
  <c r="B44" i="95"/>
  <c r="E59" i="96"/>
  <c r="E59" i="95"/>
  <c r="D59" i="96"/>
  <c r="D59" i="95"/>
  <c r="C59" i="96"/>
  <c r="C59" i="95"/>
  <c r="B59" i="96"/>
  <c r="B59" i="95"/>
  <c r="E61" i="96"/>
  <c r="E61" i="95"/>
  <c r="D61" i="96"/>
  <c r="D61" i="95"/>
  <c r="C61" i="96"/>
  <c r="C61" i="95"/>
  <c r="B61" i="96"/>
  <c r="B61" i="95"/>
  <c r="L35" i="96"/>
  <c r="L35" i="95"/>
  <c r="K35" i="96"/>
  <c r="K35" i="95"/>
  <c r="J35" i="96"/>
  <c r="J35" i="95"/>
  <c r="I35" i="96"/>
  <c r="I35" i="95"/>
  <c r="E62" i="96"/>
  <c r="E62" i="95"/>
  <c r="D62" i="96"/>
  <c r="D62" i="95"/>
  <c r="C62" i="96"/>
  <c r="C62" i="95"/>
  <c r="B62" i="96"/>
  <c r="B62" i="95"/>
  <c r="L34" i="96"/>
  <c r="L34" i="95"/>
  <c r="K34" i="96"/>
  <c r="K34" i="95"/>
  <c r="J34" i="96"/>
  <c r="J34" i="95"/>
  <c r="I34" i="96"/>
  <c r="I34" i="95"/>
  <c r="E43" i="96"/>
  <c r="E43" i="95"/>
  <c r="D43" i="96"/>
  <c r="D43" i="95"/>
  <c r="C43" i="96"/>
  <c r="C43" i="95"/>
  <c r="B43" i="96"/>
  <c r="B43" i="95"/>
  <c r="E48" i="96"/>
  <c r="E48" i="95"/>
  <c r="D48" i="96"/>
  <c r="D48" i="95"/>
  <c r="C48" i="96"/>
  <c r="C48" i="95"/>
  <c r="B48" i="96"/>
  <c r="B48" i="95"/>
  <c r="E63" i="96"/>
  <c r="E63" i="95"/>
  <c r="D63" i="96"/>
  <c r="D63" i="95"/>
  <c r="C63" i="96"/>
  <c r="C63" i="95"/>
  <c r="B63" i="96"/>
  <c r="B63" i="95"/>
  <c r="E57" i="96"/>
  <c r="E57" i="95"/>
  <c r="D57" i="96"/>
  <c r="D57" i="95"/>
  <c r="C57" i="96"/>
  <c r="C57" i="95"/>
  <c r="B57" i="96"/>
  <c r="B57" i="95"/>
  <c r="L36" i="96"/>
  <c r="L36" i="95"/>
  <c r="K36" i="96"/>
  <c r="K36" i="95"/>
  <c r="J36" i="96"/>
  <c r="J36" i="95"/>
  <c r="I36" i="96"/>
  <c r="I36" i="95"/>
  <c r="E45" i="96"/>
  <c r="E45" i="95"/>
  <c r="D45" i="96"/>
  <c r="D45" i="95"/>
  <c r="C45" i="96"/>
  <c r="C45" i="95"/>
  <c r="B45" i="96"/>
  <c r="B45" i="95"/>
  <c r="L37" i="96"/>
  <c r="L37" i="95"/>
  <c r="K37" i="96"/>
  <c r="K37" i="95"/>
  <c r="J37" i="96"/>
  <c r="J37" i="95"/>
  <c r="I37" i="96"/>
  <c r="I37" i="95"/>
  <c r="L32" i="96"/>
  <c r="L32" i="95"/>
  <c r="K32" i="96"/>
  <c r="K32" i="95"/>
  <c r="J32" i="96"/>
  <c r="J32" i="95"/>
  <c r="I32" i="96"/>
  <c r="I32" i="95"/>
  <c r="L30" i="96"/>
  <c r="L38" i="96" s="1"/>
  <c r="L30" i="95"/>
  <c r="L38" i="95" s="1"/>
  <c r="K30" i="96"/>
  <c r="K38" i="96" s="1"/>
  <c r="K30" i="95"/>
  <c r="K38" i="95" s="1"/>
  <c r="J30" i="96"/>
  <c r="J38" i="96" s="1"/>
  <c r="J30" i="95"/>
  <c r="J38" i="95" s="1"/>
  <c r="I30" i="96"/>
  <c r="I38" i="96" s="1"/>
  <c r="I30" i="95"/>
  <c r="I38" i="95" s="1"/>
  <c r="E50" i="96"/>
  <c r="E50" i="95"/>
  <c r="D50" i="96"/>
  <c r="D50" i="95"/>
  <c r="C50" i="96"/>
  <c r="C50" i="95"/>
  <c r="B50" i="96"/>
  <c r="B50" i="95"/>
  <c r="E47" i="96"/>
  <c r="E47" i="95"/>
  <c r="D47" i="96"/>
  <c r="D47" i="95"/>
  <c r="C47" i="96"/>
  <c r="C47" i="95"/>
  <c r="B47" i="96"/>
  <c r="B47" i="95"/>
  <c r="E58" i="96"/>
  <c r="E58" i="95"/>
  <c r="D58" i="96"/>
  <c r="D58" i="95"/>
  <c r="C58" i="96"/>
  <c r="C58" i="95"/>
  <c r="B58" i="96"/>
  <c r="B58" i="95"/>
  <c r="E56" i="96"/>
  <c r="E64" i="96" s="1"/>
  <c r="E56" i="95"/>
  <c r="E64" i="95" s="1"/>
  <c r="D56" i="96"/>
  <c r="D64" i="96" s="1"/>
  <c r="D56" i="95"/>
  <c r="D64" i="95" s="1"/>
  <c r="C56" i="96"/>
  <c r="C64" i="96" s="1"/>
  <c r="C56" i="95"/>
  <c r="C64" i="95" s="1"/>
  <c r="B56" i="96"/>
  <c r="B64" i="96" s="1"/>
  <c r="B56" i="95"/>
  <c r="B64" i="95" s="1"/>
  <c r="B51" i="96" l="1"/>
  <c r="D51" i="96"/>
  <c r="B51" i="95"/>
  <c r="C51" i="95"/>
  <c r="E51" i="95"/>
  <c r="D51" i="95"/>
  <c r="C51" i="96"/>
  <c r="E51" i="96"/>
  <c r="I21" i="83" l="1"/>
  <c r="H21" i="83"/>
  <c r="G21" i="83"/>
  <c r="F21" i="83"/>
  <c r="E21" i="83"/>
  <c r="D21" i="83"/>
  <c r="C21" i="83"/>
  <c r="B21" i="83"/>
  <c r="I20" i="83"/>
  <c r="H20" i="83"/>
  <c r="G20" i="83"/>
  <c r="F20" i="83"/>
  <c r="E20" i="83"/>
  <c r="D20" i="83"/>
  <c r="C20" i="83"/>
  <c r="B20" i="83"/>
  <c r="I19" i="83"/>
  <c r="H19" i="83"/>
  <c r="G19" i="83"/>
  <c r="F19" i="83"/>
  <c r="E19" i="83"/>
  <c r="D19" i="83"/>
  <c r="C19" i="83"/>
  <c r="B19" i="83"/>
  <c r="C14" i="76" l="1"/>
  <c r="J14" i="76"/>
  <c r="I14" i="76"/>
  <c r="H14" i="76"/>
  <c r="G14" i="76"/>
  <c r="F14" i="76"/>
  <c r="E14" i="76"/>
  <c r="D14" i="76"/>
  <c r="C17" i="76" l="1"/>
  <c r="J17" i="76"/>
  <c r="I17" i="76"/>
  <c r="H17" i="76"/>
  <c r="G17" i="76"/>
  <c r="F17" i="76"/>
  <c r="E17" i="76"/>
  <c r="D17" i="76"/>
  <c r="J19" i="76" l="1"/>
  <c r="I19" i="76"/>
  <c r="E37" i="96" l="1"/>
  <c r="E37" i="95"/>
  <c r="D37" i="96"/>
  <c r="D37" i="95"/>
  <c r="C37" i="96"/>
  <c r="C37" i="95"/>
  <c r="B37" i="96"/>
  <c r="B37" i="95"/>
  <c r="E36" i="96"/>
  <c r="E36" i="95"/>
  <c r="D36" i="96"/>
  <c r="D36" i="95"/>
  <c r="C36" i="96"/>
  <c r="C36" i="95"/>
  <c r="B36" i="96"/>
  <c r="B36" i="95"/>
  <c r="G19" i="76"/>
  <c r="E19" i="76"/>
  <c r="H19" i="76"/>
  <c r="F19" i="76"/>
  <c r="D19" i="76"/>
  <c r="E33" i="96" l="1"/>
  <c r="E33" i="95"/>
  <c r="D33" i="96"/>
  <c r="D33" i="95"/>
  <c r="C33" i="96"/>
  <c r="C33" i="95"/>
  <c r="B33" i="96"/>
  <c r="B33" i="95"/>
  <c r="E35" i="96"/>
  <c r="E35" i="95"/>
  <c r="D35" i="96"/>
  <c r="D35" i="95"/>
  <c r="C35" i="96"/>
  <c r="C35" i="95"/>
  <c r="B35" i="96"/>
  <c r="B35" i="95"/>
  <c r="E32" i="96"/>
  <c r="E32" i="95"/>
  <c r="D32" i="96"/>
  <c r="D32" i="95"/>
  <c r="C32" i="96"/>
  <c r="C32" i="95"/>
  <c r="B32" i="96"/>
  <c r="B32" i="95"/>
  <c r="E31" i="96"/>
  <c r="E31" i="95"/>
  <c r="D31" i="96"/>
  <c r="D31" i="95"/>
  <c r="C31" i="96"/>
  <c r="C31" i="95"/>
  <c r="B31" i="96"/>
  <c r="B31" i="95"/>
  <c r="E34" i="96"/>
  <c r="E34" i="95"/>
  <c r="D34" i="96"/>
  <c r="D34" i="95"/>
  <c r="C34" i="96"/>
  <c r="C34" i="95"/>
  <c r="B34" i="96"/>
  <c r="B34" i="95"/>
  <c r="C19" i="76"/>
  <c r="B30" i="95" s="1"/>
  <c r="E30" i="96" l="1"/>
  <c r="E38" i="96" s="1"/>
  <c r="E30" i="95"/>
  <c r="E38" i="95" s="1"/>
  <c r="D30" i="96"/>
  <c r="D38" i="96" s="1"/>
  <c r="D30" i="95"/>
  <c r="D38" i="95" s="1"/>
  <c r="C30" i="96"/>
  <c r="C38" i="96" s="1"/>
  <c r="C30" i="95"/>
  <c r="C38" i="95" s="1"/>
  <c r="B30" i="96"/>
  <c r="B38" i="96" s="1"/>
  <c r="B38" i="95"/>
  <c r="C9" i="97" l="1" a="1"/>
  <c r="C9" i="97" s="1"/>
  <c r="C8" i="97" s="1"/>
  <c r="C7" i="97" s="1"/>
  <c r="C6" i="97" s="1"/>
  <c r="B9" i="97" a="1"/>
  <c r="B9" i="97" s="1"/>
  <c r="B8" i="97" s="1"/>
  <c r="B7" i="97" s="1"/>
  <c r="B6" i="97" s="1"/>
  <c r="B9" i="98" a="1"/>
  <c r="B9" i="98" s="1"/>
  <c r="B8" i="98" s="1"/>
  <c r="B7" i="98" s="1"/>
  <c r="B6" i="98" s="1"/>
  <c r="C9" i="98" a="1"/>
  <c r="C9" i="98" s="1"/>
  <c r="C8" i="98" s="1"/>
  <c r="C7" i="98" s="1"/>
  <c r="C6" i="98" s="1"/>
  <c r="C25" i="98" l="1"/>
  <c r="C26" i="98"/>
  <c r="C19" i="98"/>
  <c r="C22" i="98" s="1"/>
  <c r="C24" i="98" s="1"/>
  <c r="B25" i="98"/>
  <c r="B26" i="98"/>
  <c r="B19" i="98"/>
  <c r="B22" i="98" s="1"/>
  <c r="B24" i="98" s="1"/>
  <c r="B17" i="97"/>
  <c r="B20" i="97" s="1"/>
  <c r="B22" i="97" s="1"/>
  <c r="B24" i="97"/>
  <c r="B23" i="97"/>
  <c r="C17" i="97"/>
  <c r="C20" i="97" s="1"/>
  <c r="C22" i="97" s="1"/>
  <c r="C23" i="97"/>
  <c r="C24" i="97"/>
  <c r="B29" i="98" l="1"/>
  <c r="B30" i="98" s="1"/>
  <c r="B35" i="98" s="1"/>
  <c r="B38" i="98" s="1"/>
  <c r="H12" i="98" s="1"/>
  <c r="C27" i="97"/>
  <c r="C28" i="97" s="1"/>
  <c r="C33" i="97" s="1"/>
  <c r="C36" i="97" s="1"/>
  <c r="B27" i="97"/>
  <c r="B28" i="97" s="1"/>
  <c r="B33" i="97" s="1"/>
  <c r="B36" i="97" s="1"/>
  <c r="C29" i="98"/>
  <c r="C30" i="98" s="1"/>
  <c r="C35" i="98" s="1"/>
  <c r="C38" i="98" s="1"/>
  <c r="B41" i="98" l="1"/>
  <c r="B49" i="98" s="1"/>
  <c r="B50" i="98" s="1"/>
  <c r="B51" i="98" s="1"/>
  <c r="H13" i="98" s="1"/>
  <c r="I12" i="97"/>
  <c r="C39" i="97"/>
  <c r="C47" i="97" s="1"/>
  <c r="C48" i="97" s="1"/>
  <c r="C49" i="97" s="1"/>
  <c r="I13" i="97" s="1"/>
  <c r="C41" i="98"/>
  <c r="C49" i="98" s="1"/>
  <c r="C50" i="98" s="1"/>
  <c r="C51" i="98" s="1"/>
  <c r="I13" i="98" s="1"/>
  <c r="I12" i="98"/>
  <c r="B39" i="97"/>
  <c r="B47" i="97" s="1"/>
  <c r="B48" i="97" s="1"/>
  <c r="B49" i="97" s="1"/>
  <c r="H13" i="97" s="1"/>
  <c r="H12" i="9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 - Antonio Rodrigues</author>
  </authors>
  <commentList>
    <comment ref="H10" authorId="0" shapeId="0" xr:uid="{CAAD2F32-AF09-4229-B1AE-B216E7D5D25A}">
      <text>
        <r>
          <rPr>
            <b/>
            <sz val="9"/>
            <color indexed="81"/>
            <rFont val="Tahoma"/>
            <family val="2"/>
          </rPr>
          <t>GA - Antonio Rodrigues:</t>
        </r>
        <r>
          <rPr>
            <sz val="9"/>
            <color indexed="81"/>
            <rFont val="Tahoma"/>
            <family val="2"/>
          </rPr>
          <t xml:space="preserve">
Média de 2018 e 2019</t>
        </r>
      </text>
    </comment>
    <comment ref="I10" authorId="0" shapeId="0" xr:uid="{84FBBA86-7175-4037-B2B6-820E05EBC064}">
      <text>
        <r>
          <rPr>
            <b/>
            <sz val="9"/>
            <color indexed="81"/>
            <rFont val="Tahoma"/>
            <family val="2"/>
          </rPr>
          <t>GA - Antonio Rodrigues:</t>
        </r>
        <r>
          <rPr>
            <sz val="9"/>
            <color indexed="81"/>
            <rFont val="Tahoma"/>
            <family val="2"/>
          </rPr>
          <t xml:space="preserve">
Média de 2019 e 2020</t>
        </r>
      </text>
    </comment>
    <comment ref="H11" authorId="0" shapeId="0" xr:uid="{C2156C3C-6AB4-45DB-99B0-33B41BC513EE}">
      <text>
        <r>
          <rPr>
            <b/>
            <sz val="9"/>
            <color indexed="81"/>
            <rFont val="Tahoma"/>
            <family val="2"/>
          </rPr>
          <t>GA - Antonio Rodrigues:</t>
        </r>
        <r>
          <rPr>
            <sz val="9"/>
            <color indexed="81"/>
            <rFont val="Tahoma"/>
            <family val="2"/>
          </rPr>
          <t xml:space="preserve">
Média de 2018 e 2019</t>
        </r>
      </text>
    </comment>
    <comment ref="I11" authorId="0" shapeId="0" xr:uid="{46869C4B-D067-45F1-8776-D49DC530B339}">
      <text>
        <r>
          <rPr>
            <b/>
            <sz val="9"/>
            <color indexed="81"/>
            <rFont val="Tahoma"/>
            <family val="2"/>
          </rPr>
          <t>GA - Antonio Rodrigues:</t>
        </r>
        <r>
          <rPr>
            <sz val="9"/>
            <color indexed="81"/>
            <rFont val="Tahoma"/>
            <family val="2"/>
          </rPr>
          <t xml:space="preserve">
Média de 2019 e 2020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 - Antonio Rodrigues</author>
  </authors>
  <commentList>
    <comment ref="H10" authorId="0" shapeId="0" xr:uid="{A8F5E6D1-A741-4D38-A07F-85578850885B}">
      <text>
        <r>
          <rPr>
            <b/>
            <sz val="9"/>
            <color indexed="81"/>
            <rFont val="Tahoma"/>
            <family val="2"/>
          </rPr>
          <t>GA - Antonio Rodrigues:</t>
        </r>
        <r>
          <rPr>
            <sz val="9"/>
            <color indexed="81"/>
            <rFont val="Tahoma"/>
            <family val="2"/>
          </rPr>
          <t xml:space="preserve">
Média de 2018 e 2019</t>
        </r>
      </text>
    </comment>
    <comment ref="I10" authorId="0" shapeId="0" xr:uid="{AE3B0AEC-A2BD-4271-9A47-A19958E9E42B}">
      <text>
        <r>
          <rPr>
            <b/>
            <sz val="9"/>
            <color indexed="81"/>
            <rFont val="Tahoma"/>
            <family val="2"/>
          </rPr>
          <t>GA - Antonio Rodrigues:</t>
        </r>
        <r>
          <rPr>
            <sz val="9"/>
            <color indexed="81"/>
            <rFont val="Tahoma"/>
            <family val="2"/>
          </rPr>
          <t xml:space="preserve">
Média de 2019 e 2020</t>
        </r>
      </text>
    </comment>
    <comment ref="H11" authorId="0" shapeId="0" xr:uid="{CBED983D-42AE-4A95-9CE9-F983BF74812F}">
      <text>
        <r>
          <rPr>
            <b/>
            <sz val="9"/>
            <color indexed="81"/>
            <rFont val="Tahoma"/>
            <family val="2"/>
          </rPr>
          <t>GA - Antonio Rodrigues:</t>
        </r>
        <r>
          <rPr>
            <sz val="9"/>
            <color indexed="81"/>
            <rFont val="Tahoma"/>
            <family val="2"/>
          </rPr>
          <t xml:space="preserve">
Média de 2018 e 2019</t>
        </r>
      </text>
    </comment>
    <comment ref="I11" authorId="0" shapeId="0" xr:uid="{47CDE802-3066-40BF-B9B7-12ADC080A9D5}">
      <text>
        <r>
          <rPr>
            <b/>
            <sz val="9"/>
            <color indexed="81"/>
            <rFont val="Tahoma"/>
            <family val="2"/>
          </rPr>
          <t>GA - Antonio Rodrigues:</t>
        </r>
        <r>
          <rPr>
            <sz val="9"/>
            <color indexed="81"/>
            <rFont val="Tahoma"/>
            <family val="2"/>
          </rPr>
          <t xml:space="preserve">
Média de 2019 e 2020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<sst xmlns="http://schemas.openxmlformats.org/spreadsheetml/2006/main" count="685" uniqueCount="184">
  <si>
    <t>BUTANO</t>
  </si>
  <si>
    <t>GASOLINA</t>
  </si>
  <si>
    <t>FUEL 380</t>
  </si>
  <si>
    <t>FUEL 180</t>
  </si>
  <si>
    <t>IVA</t>
  </si>
  <si>
    <t>Outras Taxas</t>
  </si>
  <si>
    <t>=</t>
  </si>
  <si>
    <t>ECV/Kg</t>
  </si>
  <si>
    <t>ECV/L</t>
  </si>
  <si>
    <t>PETRÓLEO</t>
  </si>
  <si>
    <t xml:space="preserve">PREÇO MÁXIMO DE VENDA </t>
  </si>
  <si>
    <t>PREÇO MÁXIMO DE VENDA ARR</t>
  </si>
  <si>
    <t>GASÓLEO N.</t>
  </si>
  <si>
    <t>GASÓLEO EL</t>
  </si>
  <si>
    <t>GASÓLEO MAR</t>
  </si>
  <si>
    <t>CP - Custos de Importação</t>
  </si>
  <si>
    <t xml:space="preserve">MMUD - Custos de Distribuição </t>
  </si>
  <si>
    <t>CUGSL - Custos de Logística</t>
  </si>
  <si>
    <t>Mercado regulado</t>
  </si>
  <si>
    <t>Butano (em quilogramas)</t>
  </si>
  <si>
    <t>Gasolina (em litros)</t>
  </si>
  <si>
    <t>Petróleo (em litros)</t>
  </si>
  <si>
    <t>Gasóleo normal (em litros)</t>
  </si>
  <si>
    <t>Gasóleo eletricidade (em litros)</t>
  </si>
  <si>
    <t>Gasóleo marinha (em litros)</t>
  </si>
  <si>
    <t>Fuelóleo 180 (em quilogramas)</t>
  </si>
  <si>
    <t>Fuelóleo 380 (em quilogramas)</t>
  </si>
  <si>
    <t>Previsão dos volumes de combustíveis vendidos - cenário mais provável</t>
  </si>
  <si>
    <t>Previsão dos volumes de combustíveis vendidos - cenário otimista</t>
  </si>
  <si>
    <t>Previsão dos volumes de combustíveis vendidos - cenário pessimista</t>
  </si>
  <si>
    <t>Previsão das vendas de combustíveis - cenário mais provável</t>
  </si>
  <si>
    <t>Previsão das vendas de combustíveis - cenário otimista</t>
  </si>
  <si>
    <t>Previsão das vendas de combustíveis - cenário pessimista</t>
  </si>
  <si>
    <t>Total</t>
  </si>
  <si>
    <t>CP DOS COMBUSTÍVEIS - 2021</t>
  </si>
  <si>
    <t>Média</t>
  </si>
  <si>
    <t>Mínimo</t>
  </si>
  <si>
    <t>Máximo</t>
  </si>
  <si>
    <t>Método de estimativa do CP</t>
  </si>
  <si>
    <t>Máximo de 2021</t>
  </si>
  <si>
    <t>Mínimo de 2021</t>
  </si>
  <si>
    <t>Média de 2021</t>
  </si>
  <si>
    <t>VA</t>
  </si>
  <si>
    <t>Vendas e prestações de serviços (+)</t>
  </si>
  <si>
    <t>Subsídios à exploração (+)</t>
  </si>
  <si>
    <t>Variações nos inventários de produção (+/-)</t>
  </si>
  <si>
    <t>Trabalhos para a própria entidade (+)</t>
  </si>
  <si>
    <t>Gastos com mercadorias vendidas e matérias consumidas (-)</t>
  </si>
  <si>
    <t>Ajustamentos de inventários (perdas/reversões) (+/-)</t>
  </si>
  <si>
    <t>Imparidade de dívidas a receber (perdas/reversões) (+/-)</t>
  </si>
  <si>
    <t>Provisões (aumentos/reduções) (+/-)</t>
  </si>
  <si>
    <t>Imparidade de activos não depreciáveis/amortizáveis (perdas/reversões) (+/-)</t>
  </si>
  <si>
    <t>Aumentos/reduções de justo valor (+/-)</t>
  </si>
  <si>
    <t>Gastos/reversões de depreciação e de amortização (+/-)</t>
  </si>
  <si>
    <t>Imparidade de activos depreciáveis/amortizáveis (perdas/reversões) (+/-)</t>
  </si>
  <si>
    <t>Juros e perdas similares suportados (-)</t>
  </si>
  <si>
    <t>Resultado antes de impostos (+/-)</t>
  </si>
  <si>
    <t>Imposto sobre o rendimento do período (-)</t>
  </si>
  <si>
    <t>Resultado líquido do período (+/-)</t>
  </si>
  <si>
    <t>valores em milhares de escudos</t>
  </si>
  <si>
    <t xml:space="preserve">Vendas </t>
  </si>
  <si>
    <t>Mercado interno</t>
  </si>
  <si>
    <t>Mercado de aviação</t>
  </si>
  <si>
    <t>Bancas internacionais</t>
  </si>
  <si>
    <t>Prestações de serviços</t>
  </si>
  <si>
    <t>Mercado externo</t>
  </si>
  <si>
    <t>Produtos regulados</t>
  </si>
  <si>
    <t>DEMONSTRAÇÃO DOS RESULTADOS PARA A GESTÃO</t>
  </si>
  <si>
    <t>Volume de negócios (+)</t>
  </si>
  <si>
    <t>Produção</t>
  </si>
  <si>
    <t xml:space="preserve">Outros rendimentos e ganhos operacionais (+) </t>
  </si>
  <si>
    <t>Rendimentos e ganhos operacionais (+)</t>
  </si>
  <si>
    <t xml:space="preserve">Fornecimentos e serviços externos variáveis (-) </t>
  </si>
  <si>
    <t>Gastos variáveis com o pessoal (-)</t>
  </si>
  <si>
    <t xml:space="preserve">Outros gastos e perdas operacionais variáveis (-) </t>
  </si>
  <si>
    <t>Gastos e perdas operacionais variáveis (-)</t>
  </si>
  <si>
    <t>Margem de contribuição (+/-)</t>
  </si>
  <si>
    <t>Fornecimentos e serviços externos fixos (-)</t>
  </si>
  <si>
    <t>Gastos fixos com o pessoal (-)</t>
  </si>
  <si>
    <t>Outros gastos e perdas operacionais fixos (-)</t>
  </si>
  <si>
    <t>Gastos e perdas operacionais fixos (-)</t>
  </si>
  <si>
    <t>Excedente bruto de exploração (+/-)</t>
  </si>
  <si>
    <t>Resultado operacional (+/-)</t>
  </si>
  <si>
    <t xml:space="preserve">Juros e ganhos similares obtidos (+) </t>
  </si>
  <si>
    <t>Resultado corrente (+/-)</t>
  </si>
  <si>
    <t>Outros ganhos não correntes ou extraordinários (+)</t>
  </si>
  <si>
    <t>Outras perdas não correntes ou extraordinárias (+)</t>
  </si>
  <si>
    <t>84% das vendas e prestações de serviços</t>
  </si>
  <si>
    <t>7% das vendas e prestações de serviços</t>
  </si>
  <si>
    <t>Lubrificantes, betumes e outros materiais e mercadorias</t>
  </si>
  <si>
    <t>Rendibilidade do capital próprio - balanço financeiro</t>
  </si>
  <si>
    <t>Considerar a retoma da economia em 2020?</t>
  </si>
  <si>
    <t>Sim</t>
  </si>
  <si>
    <t>Não</t>
  </si>
  <si>
    <t>Custo de capital próprio</t>
  </si>
  <si>
    <t>Capital próprio - balanço financeiro</t>
  </si>
  <si>
    <t>Cenário considerado</t>
  </si>
  <si>
    <t>Mais provável</t>
  </si>
  <si>
    <t>Otimista</t>
  </si>
  <si>
    <t>Pessimista</t>
  </si>
  <si>
    <t>22,44% do resultado antes de impostos</t>
  </si>
  <si>
    <t>NOVOS PREÇOS MÁXIMOS A VIGORAR A PARTIR DE JANEIRO DE 2022 - CENÁRIO MAIS PROVÁVEL</t>
  </si>
  <si>
    <t>NOVOS PREÇOS MÁXIMOS A VIGORAR A PARTIR DE JANEIRO DE 2022 - CENÁRIO OTIMISTA</t>
  </si>
  <si>
    <t>NOVOS PREÇOS MÁXIMOS A VIGORAR A PARTIR DE JANEIRO DE 2022 - CENÁRIO PESSIMISTA</t>
  </si>
  <si>
    <t>NOVOS PREÇOS MÁXIMOS A VIGORAR A PARTIR DE JANEIRO DE 2022 - CENÁRIO DE CUSTOS ACEITES</t>
  </si>
  <si>
    <t>Previsão das vendas de combustíveis - cenário de custos aceites</t>
  </si>
  <si>
    <t>80% das vendas e prestações de serviços</t>
  </si>
  <si>
    <t>6% das vendas e prestações de serviços</t>
  </si>
  <si>
    <t>Mercado local</t>
  </si>
  <si>
    <t>Automotives</t>
  </si>
  <si>
    <t>Jet A1</t>
  </si>
  <si>
    <t>Aviação internacional (Jet A1)</t>
  </si>
  <si>
    <t>Bunkers (marine internacional)</t>
  </si>
  <si>
    <t>Fretes marítimos</t>
  </si>
  <si>
    <t>Serviços diversos</t>
  </si>
  <si>
    <t>Armazenagem e utilização de pipeline</t>
  </si>
  <si>
    <t>Capital investido - balanço financeiro</t>
  </si>
  <si>
    <t>Rendibilidade do capital investido - balanço financeiro</t>
  </si>
  <si>
    <t>Custo médio ponderado de capital</t>
  </si>
  <si>
    <t>[12,54%;15,73%]</t>
  </si>
  <si>
    <t>[11,40%;14,11%]</t>
  </si>
  <si>
    <t>Probabilidade de ocorrência</t>
  </si>
  <si>
    <t>Cenário mais provável</t>
  </si>
  <si>
    <t>Cenário otimista</t>
  </si>
  <si>
    <t>Cenário pessimista</t>
  </si>
  <si>
    <t>Tarifas - Ano base de 2019</t>
  </si>
  <si>
    <t>APS</t>
  </si>
  <si>
    <t>OIEGG</t>
  </si>
  <si>
    <t>TTP</t>
  </si>
  <si>
    <t>ADML</t>
  </si>
  <si>
    <t>TTS</t>
  </si>
  <si>
    <t>EPA</t>
  </si>
  <si>
    <t>CM</t>
  </si>
  <si>
    <t>ADMD</t>
  </si>
  <si>
    <t>Regulado</t>
  </si>
  <si>
    <t>Butano</t>
  </si>
  <si>
    <t>Gasolina</t>
  </si>
  <si>
    <t>Petróleo</t>
  </si>
  <si>
    <t>Gasóleo normal</t>
  </si>
  <si>
    <t>Gasóleo eletricidade</t>
  </si>
  <si>
    <t>Gasóleo marinha</t>
  </si>
  <si>
    <t>Fuelóleo 180</t>
  </si>
  <si>
    <t>Tarifas - Custo mínimo</t>
  </si>
  <si>
    <t>Tarifas - Custo máximo</t>
  </si>
  <si>
    <t>Tarifas - Cenário ponderado</t>
  </si>
  <si>
    <t>TSL</t>
  </si>
  <si>
    <t>Comissão</t>
  </si>
  <si>
    <t>TTS+TSD</t>
  </si>
  <si>
    <t xml:space="preserve">Frete Marítimo </t>
  </si>
  <si>
    <t>Taxa regulação</t>
  </si>
  <si>
    <t>TARIFAS APURADAS</t>
  </si>
  <si>
    <t>CENÁRIO MAIS PROVÁVEL</t>
  </si>
  <si>
    <t>CENÁRIO OTIMISTA</t>
  </si>
  <si>
    <t>CENÁRIO PESSIMISTA</t>
  </si>
  <si>
    <t>CENÁRIO PONDERADO</t>
  </si>
  <si>
    <t>CENÁRIO CUSTOS ACEITES</t>
  </si>
  <si>
    <t>NOVOS PREÇOS MÁXIMOS A VIGORAR A PARTIR DE JANEIRO DE 2022 - CENÁRIO PONDERADO</t>
  </si>
  <si>
    <t>TARIFA SETOR - Ano base 2019</t>
  </si>
  <si>
    <t>TSL = APS + OIEGG + TTP + ADML</t>
  </si>
  <si>
    <t>Produto</t>
  </si>
  <si>
    <t>Tarifas atuais</t>
  </si>
  <si>
    <t>Novas Tarifas</t>
  </si>
  <si>
    <t>Tarifas Aceites</t>
  </si>
  <si>
    <t>Diferença - Tarifas aceites</t>
  </si>
  <si>
    <t>Variação - Tarifas Aceites</t>
  </si>
  <si>
    <t>Fuelóleo 380</t>
  </si>
  <si>
    <t>TSD = EPA + CM + ADMD</t>
  </si>
  <si>
    <t>Tarifas  - CUGSL</t>
  </si>
  <si>
    <t>Tarifas MMUD</t>
  </si>
  <si>
    <t>Tarifas CUGSL + MMUD</t>
  </si>
  <si>
    <t>Previsão das vendas de combustíveis - cenário ponderado</t>
  </si>
  <si>
    <t>Custos aceites</t>
  </si>
  <si>
    <t>Ano de previsão das vendas de produtos regulados</t>
  </si>
  <si>
    <t>Média do quadriénio</t>
  </si>
  <si>
    <t>Ponderado</t>
  </si>
  <si>
    <t>Produtos</t>
  </si>
  <si>
    <t>Percentagem de aceitação das reduções</t>
  </si>
  <si>
    <t xml:space="preserve">Frete Marítimo (1) </t>
  </si>
  <si>
    <t>Taxa regulação (2)</t>
  </si>
  <si>
    <t>TSL (3)</t>
  </si>
  <si>
    <t>TTS+TSD (6)</t>
  </si>
  <si>
    <t>Comissão de agentes (5)</t>
  </si>
  <si>
    <t>CUGSL (4) = (1)+(2)+(3)</t>
  </si>
  <si>
    <t>MMUD (7) = (5)+(6)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</si>
</sst>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€_-;\-* #,##0.00\ _€_-;_-* &quot;-&quot;??\ _€_-;_-@_-"/>
    <numFmt numFmtId="165" formatCode="#,##0.0000"/>
    <numFmt numFmtId="166" formatCode="_-[$€]* #,##0.00_-;\-[$€]* #,##0.00_-;_-[$€]* &quot;-&quot;??_-;_-@_-"/>
    <numFmt numFmtId="167" formatCode="_-* #,##0.00\ _F_-;\-* #,##0.00\ _F_-;_-* &quot;-&quot;??\ _F_-;_-@_-"/>
    <numFmt numFmtId="168" formatCode="#,##0.00\ &quot;€&quot;"/>
    <numFmt numFmtId="169" formatCode="[$-816]d/mmm/yyyy;@"/>
    <numFmt numFmtId="170" formatCode="[$-816]mmm/yy;@"/>
    <numFmt numFmtId="171" formatCode="0.0%"/>
    <numFmt numFmtId="172" formatCode="_(\ #,##0_);_(* \(#,##0\);_(* &quot;-&quot;_);_(@_)"/>
  </numFmts>
  <fonts count="5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Trebuchet MS"/>
      <family val="2"/>
    </font>
    <font>
      <sz val="12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color indexed="9"/>
      <name val="Times New Roman"/>
      <family val="1"/>
    </font>
    <font>
      <b/>
      <sz val="18"/>
      <color indexed="9"/>
      <name val="Times New Roman"/>
      <family val="1"/>
    </font>
    <font>
      <sz val="10"/>
      <color theme="4" tint="0.79998168889431442"/>
      <name val="Times New Roman"/>
      <family val="1"/>
    </font>
    <font>
      <b/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sz val="10"/>
      <color rgb="FFFF0000"/>
      <name val="Times New Roman"/>
      <family val="1"/>
    </font>
    <font>
      <sz val="11"/>
      <color rgb="FF0000FF"/>
      <name val="Calibri"/>
      <family val="2"/>
      <scheme val="minor"/>
    </font>
    <font>
      <b/>
      <sz val="10"/>
      <name val="Arial"/>
      <family val="2"/>
    </font>
    <font>
      <sz val="11"/>
      <name val="Cambria"/>
      <family val="1"/>
    </font>
    <font>
      <b/>
      <i/>
      <sz val="5"/>
      <name val="Cambria"/>
      <family val="1"/>
    </font>
    <font>
      <b/>
      <sz val="14"/>
      <color indexed="9"/>
      <name val="Cambria"/>
      <family val="1"/>
    </font>
    <font>
      <b/>
      <sz val="11"/>
      <name val="Cambria"/>
      <family val="1"/>
    </font>
    <font>
      <sz val="11"/>
      <color theme="4" tint="0.79998168889431442"/>
      <name val="Cambria"/>
      <family val="1"/>
    </font>
    <font>
      <b/>
      <sz val="11"/>
      <color theme="0" tint="-4.9989318521683403E-2"/>
      <name val="Cambria"/>
      <family val="1"/>
    </font>
    <font>
      <b/>
      <sz val="11"/>
      <color theme="0"/>
      <name val="Cambria"/>
      <family val="1"/>
    </font>
    <font>
      <sz val="11"/>
      <color theme="0"/>
      <name val="Cambria"/>
      <family val="1"/>
    </font>
    <font>
      <sz val="11"/>
      <color theme="0" tint="-4.9989318521683403E-2"/>
      <name val="Cambria"/>
      <family val="1"/>
    </font>
    <font>
      <b/>
      <sz val="11"/>
      <color theme="1"/>
      <name val="Cambria"/>
      <family val="1"/>
    </font>
    <font>
      <b/>
      <sz val="14"/>
      <color rgb="FFFF0000"/>
      <name val="Cambria"/>
      <family val="1"/>
    </font>
    <font>
      <sz val="11"/>
      <color theme="1"/>
      <name val="Cambria"/>
      <family val="2"/>
    </font>
    <font>
      <b/>
      <sz val="6"/>
      <name val="Narkisim"/>
      <family val="2"/>
      <charset val="177"/>
    </font>
    <font>
      <sz val="10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2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sz val="10"/>
      <color theme="1"/>
      <name val="Cambria"/>
      <family val="1"/>
    </font>
    <font>
      <b/>
      <sz val="10"/>
      <color theme="1"/>
      <name val="Cambria"/>
      <family val="1"/>
      <scheme val="maj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sz val="11"/>
      <color theme="1"/>
      <name val="Cambria"/>
      <family val="1"/>
      <scheme val="major"/>
    </font>
  </fonts>
  <fills count="1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theme="4"/>
      </top>
      <bottom/>
      <diagonal/>
    </border>
    <border>
      <left style="double">
        <color theme="4"/>
      </left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/>
      <top style="thin">
        <color theme="4"/>
      </top>
      <bottom style="double">
        <color theme="4"/>
      </bottom>
      <diagonal/>
    </border>
    <border>
      <left/>
      <right style="double">
        <color theme="4"/>
      </right>
      <top style="thin">
        <color theme="4"/>
      </top>
      <bottom style="double">
        <color theme="4"/>
      </bottom>
      <diagonal/>
    </border>
    <border>
      <left/>
      <right style="double">
        <color theme="4"/>
      </right>
      <top/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/>
      <right/>
      <top style="double">
        <color theme="4"/>
      </top>
      <bottom style="thin">
        <color theme="4"/>
      </bottom>
      <diagonal/>
    </border>
    <border>
      <left/>
      <right style="double">
        <color theme="4"/>
      </right>
      <top style="double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double">
        <color theme="4"/>
      </right>
      <top style="thin">
        <color theme="4"/>
      </top>
      <bottom style="thin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 style="thin">
        <color theme="4"/>
      </bottom>
      <diagonal/>
    </border>
    <border>
      <left style="double">
        <color theme="4"/>
      </left>
      <right style="double">
        <color theme="4"/>
      </right>
      <top style="thin">
        <color theme="4"/>
      </top>
      <bottom style="thin">
        <color theme="4"/>
      </bottom>
      <diagonal/>
    </border>
    <border>
      <left style="double">
        <color theme="4"/>
      </left>
      <right style="double">
        <color theme="4"/>
      </right>
      <top style="thin">
        <color theme="4"/>
      </top>
      <bottom style="double">
        <color theme="4"/>
      </bottom>
      <diagonal/>
    </border>
    <border>
      <left style="double">
        <color theme="4"/>
      </left>
      <right style="double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double">
        <color theme="4"/>
      </right>
      <top style="thin">
        <color theme="4"/>
      </top>
      <bottom/>
      <diagonal/>
    </border>
    <border>
      <left style="double">
        <color theme="4"/>
      </left>
      <right style="double">
        <color theme="4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double">
        <color theme="4"/>
      </right>
      <top/>
      <bottom style="thin">
        <color theme="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double">
        <color theme="4"/>
      </left>
      <right/>
      <top style="thin">
        <color theme="4"/>
      </top>
      <bottom style="thin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 style="thin">
        <color theme="4"/>
      </top>
      <bottom/>
      <diagonal/>
    </border>
    <border>
      <left style="double">
        <color theme="4"/>
      </left>
      <right/>
      <top style="double">
        <color theme="4"/>
      </top>
      <bottom style="thin">
        <color theme="4"/>
      </bottom>
      <diagonal/>
    </border>
  </borders>
  <cellStyleXfs count="37">
    <xf numFmtId="0" fontId="0" fillId="0" borderId="0"/>
    <xf numFmtId="165" fontId="3" fillId="0" borderId="0" applyFont="0" applyFill="0" applyBorder="0" applyAlignment="0" applyProtection="0"/>
    <xf numFmtId="0" fontId="9" fillId="4" borderId="0" applyNumberFormat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8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0" borderId="1" applyNumberFormat="0" applyFill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9" fontId="1" fillId="0" borderId="0"/>
    <xf numFmtId="169" fontId="9" fillId="4" borderId="0" applyNumberFormat="0" applyBorder="0" applyAlignment="0" applyProtection="0"/>
    <xf numFmtId="169" fontId="10" fillId="0" borderId="1" applyNumberFormat="0" applyFill="0" applyAlignment="0" applyProtection="0"/>
    <xf numFmtId="0" fontId="32" fillId="0" borderId="0"/>
    <xf numFmtId="0" fontId="43" fillId="0" borderId="0"/>
  </cellStyleXfs>
  <cellXfs count="200">
    <xf numFmtId="0" fontId="0" fillId="0" borderId="0" xfId="0"/>
    <xf numFmtId="0" fontId="11" fillId="5" borderId="0" xfId="10" applyFont="1" applyFill="1"/>
    <xf numFmtId="0" fontId="14" fillId="5" borderId="0" xfId="2" applyFont="1" applyFill="1" applyAlignment="1">
      <alignment vertical="center"/>
    </xf>
    <xf numFmtId="0" fontId="15" fillId="5" borderId="0" xfId="10" applyFont="1" applyFill="1"/>
    <xf numFmtId="0" fontId="11" fillId="5" borderId="0" xfId="10" applyFont="1" applyFill="1" applyAlignment="1">
      <alignment vertical="center"/>
    </xf>
    <xf numFmtId="0" fontId="12" fillId="5" borderId="11" xfId="10" applyFont="1" applyFill="1" applyBorder="1" applyAlignment="1">
      <alignment vertical="center"/>
    </xf>
    <xf numFmtId="0" fontId="11" fillId="5" borderId="0" xfId="10" applyFont="1" applyFill="1" applyAlignment="1">
      <alignment horizontal="right" vertical="center"/>
    </xf>
    <xf numFmtId="0" fontId="16" fillId="5" borderId="5" xfId="16" applyFont="1" applyFill="1" applyBorder="1" applyAlignment="1">
      <alignment horizontal="center" vertical="center"/>
    </xf>
    <xf numFmtId="0" fontId="16" fillId="5" borderId="6" xfId="16" applyFont="1" applyFill="1" applyBorder="1" applyAlignment="1">
      <alignment horizontal="center" vertical="center"/>
    </xf>
    <xf numFmtId="0" fontId="16" fillId="5" borderId="7" xfId="16" applyFont="1" applyFill="1" applyBorder="1" applyAlignment="1">
      <alignment horizontal="center" vertical="center"/>
    </xf>
    <xf numFmtId="0" fontId="17" fillId="5" borderId="10" xfId="16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1" fillId="5" borderId="0" xfId="10" applyFont="1" applyFill="1" applyAlignment="1">
      <alignment horizontal="center"/>
    </xf>
    <xf numFmtId="0" fontId="16" fillId="5" borderId="16" xfId="16" applyFont="1" applyFill="1" applyBorder="1" applyAlignment="1">
      <alignment horizontal="left" vertical="center"/>
    </xf>
    <xf numFmtId="2" fontId="16" fillId="3" borderId="12" xfId="16" applyNumberFormat="1" applyFont="1" applyFill="1" applyBorder="1" applyAlignment="1">
      <alignment horizontal="center" vertical="center"/>
    </xf>
    <xf numFmtId="2" fontId="16" fillId="3" borderId="13" xfId="16" applyNumberFormat="1" applyFont="1" applyFill="1" applyBorder="1" applyAlignment="1">
      <alignment horizontal="center" vertical="center"/>
    </xf>
    <xf numFmtId="0" fontId="11" fillId="5" borderId="0" xfId="10" applyFont="1" applyFill="1" applyAlignment="1"/>
    <xf numFmtId="0" fontId="16" fillId="5" borderId="17" xfId="16" applyFont="1" applyFill="1" applyBorder="1" applyAlignment="1">
      <alignment horizontal="left" vertical="center"/>
    </xf>
    <xf numFmtId="2" fontId="16" fillId="3" borderId="14" xfId="16" applyNumberFormat="1" applyFont="1" applyFill="1" applyBorder="1" applyAlignment="1">
      <alignment horizontal="center" vertical="center"/>
    </xf>
    <xf numFmtId="2" fontId="16" fillId="3" borderId="15" xfId="16" applyNumberFormat="1" applyFont="1" applyFill="1" applyBorder="1" applyAlignment="1">
      <alignment horizontal="center" vertical="center"/>
    </xf>
    <xf numFmtId="0" fontId="16" fillId="5" borderId="19" xfId="16" applyFont="1" applyFill="1" applyBorder="1" applyAlignment="1">
      <alignment horizontal="left" vertical="center"/>
    </xf>
    <xf numFmtId="2" fontId="16" fillId="3" borderId="20" xfId="16" applyNumberFormat="1" applyFont="1" applyFill="1" applyBorder="1" applyAlignment="1">
      <alignment horizontal="center" vertical="center"/>
    </xf>
    <xf numFmtId="2" fontId="16" fillId="3" borderId="21" xfId="16" applyNumberFormat="1" applyFont="1" applyFill="1" applyBorder="1" applyAlignment="1">
      <alignment horizontal="center" vertical="center"/>
    </xf>
    <xf numFmtId="0" fontId="16" fillId="5" borderId="6" xfId="16" applyFont="1" applyFill="1" applyBorder="1" applyAlignment="1">
      <alignment horizontal="left" vertical="center"/>
    </xf>
    <xf numFmtId="2" fontId="16" fillId="5" borderId="6" xfId="16" applyNumberFormat="1" applyFont="1" applyFill="1" applyBorder="1" applyAlignment="1">
      <alignment horizontal="center" vertical="center"/>
    </xf>
    <xf numFmtId="0" fontId="16" fillId="5" borderId="22" xfId="16" applyFont="1" applyFill="1" applyBorder="1" applyAlignment="1">
      <alignment horizontal="left" vertical="center"/>
    </xf>
    <xf numFmtId="2" fontId="16" fillId="3" borderId="23" xfId="16" applyNumberFormat="1" applyFont="1" applyFill="1" applyBorder="1" applyAlignment="1">
      <alignment horizontal="center" vertical="center"/>
    </xf>
    <xf numFmtId="2" fontId="16" fillId="3" borderId="24" xfId="16" applyNumberFormat="1" applyFont="1" applyFill="1" applyBorder="1" applyAlignment="1">
      <alignment horizontal="center" vertical="center"/>
    </xf>
    <xf numFmtId="0" fontId="16" fillId="6" borderId="18" xfId="16" applyFont="1" applyFill="1" applyBorder="1" applyAlignment="1">
      <alignment horizontal="left" vertical="center"/>
    </xf>
    <xf numFmtId="2" fontId="16" fillId="6" borderId="1" xfId="16" applyNumberFormat="1" applyFont="1" applyFill="1" applyBorder="1" applyAlignment="1">
      <alignment horizontal="center" vertical="center"/>
    </xf>
    <xf numFmtId="2" fontId="16" fillId="6" borderId="9" xfId="16" applyNumberFormat="1" applyFont="1" applyFill="1" applyBorder="1" applyAlignment="1">
      <alignment horizontal="center" vertical="center"/>
    </xf>
    <xf numFmtId="2" fontId="11" fillId="5" borderId="0" xfId="10" applyNumberFormat="1" applyFont="1" applyFill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3" fontId="19" fillId="0" borderId="30" xfId="0" applyNumberFormat="1" applyFont="1" applyBorder="1" applyAlignment="1" applyProtection="1">
      <alignment vertical="center"/>
      <protection locked="0"/>
    </xf>
    <xf numFmtId="3" fontId="19" fillId="0" borderId="31" xfId="0" applyNumberFormat="1" applyFont="1" applyBorder="1" applyAlignment="1" applyProtection="1">
      <alignment vertical="center"/>
      <protection locked="0"/>
    </xf>
    <xf numFmtId="0" fontId="0" fillId="0" borderId="35" xfId="0" applyBorder="1" applyAlignment="1">
      <alignment vertical="center"/>
    </xf>
    <xf numFmtId="3" fontId="19" fillId="0" borderId="36" xfId="0" applyNumberFormat="1" applyFont="1" applyBorder="1" applyAlignment="1" applyProtection="1">
      <alignment vertical="center"/>
      <protection locked="0"/>
    </xf>
    <xf numFmtId="3" fontId="19" fillId="0" borderId="37" xfId="0" applyNumberFormat="1" applyFont="1" applyBorder="1" applyAlignment="1" applyProtection="1">
      <alignment vertical="center"/>
      <protection locked="0"/>
    </xf>
    <xf numFmtId="3" fontId="19" fillId="0" borderId="38" xfId="0" applyNumberFormat="1" applyFont="1" applyBorder="1" applyAlignment="1" applyProtection="1">
      <alignment vertical="center"/>
      <protection locked="0"/>
    </xf>
    <xf numFmtId="3" fontId="20" fillId="0" borderId="40" xfId="0" applyNumberFormat="1" applyFont="1" applyBorder="1"/>
    <xf numFmtId="3" fontId="20" fillId="0" borderId="42" xfId="0" applyNumberFormat="1" applyFont="1" applyBorder="1"/>
    <xf numFmtId="3" fontId="20" fillId="0" borderId="41" xfId="0" applyNumberFormat="1" applyFont="1" applyBorder="1"/>
    <xf numFmtId="169" fontId="21" fillId="5" borderId="0" xfId="32" applyFont="1" applyFill="1"/>
    <xf numFmtId="169" fontId="22" fillId="5" borderId="0" xfId="32" applyFont="1" applyFill="1" applyAlignment="1">
      <alignment horizontal="center" vertical="center"/>
    </xf>
    <xf numFmtId="2" fontId="24" fillId="5" borderId="0" xfId="32" applyNumberFormat="1" applyFont="1" applyFill="1" applyAlignment="1">
      <alignment horizontal="right" vertical="center"/>
    </xf>
    <xf numFmtId="169" fontId="25" fillId="5" borderId="0" xfId="32" applyFont="1" applyFill="1"/>
    <xf numFmtId="0" fontId="26" fillId="5" borderId="0" xfId="32" applyNumberFormat="1" applyFont="1" applyFill="1" applyAlignment="1">
      <alignment horizontal="center" vertical="center"/>
    </xf>
    <xf numFmtId="10" fontId="27" fillId="5" borderId="11" xfId="27" applyNumberFormat="1" applyFont="1" applyFill="1" applyBorder="1" applyAlignment="1">
      <alignment horizontal="center" vertical="center"/>
    </xf>
    <xf numFmtId="0" fontId="28" fillId="5" borderId="0" xfId="32" applyNumberFormat="1" applyFont="1" applyFill="1" applyAlignment="1">
      <alignment horizontal="center"/>
    </xf>
    <xf numFmtId="1" fontId="29" fillId="5" borderId="0" xfId="32" applyNumberFormat="1" applyFont="1" applyFill="1" applyAlignment="1">
      <alignment horizontal="center" vertical="center"/>
    </xf>
    <xf numFmtId="0" fontId="30" fillId="5" borderId="5" xfId="34" applyNumberFormat="1" applyFont="1" applyFill="1" applyBorder="1" applyAlignment="1">
      <alignment horizontal="center" vertical="center"/>
    </xf>
    <xf numFmtId="0" fontId="30" fillId="5" borderId="6" xfId="34" applyNumberFormat="1" applyFont="1" applyFill="1" applyBorder="1" applyAlignment="1">
      <alignment horizontal="center" vertical="center"/>
    </xf>
    <xf numFmtId="0" fontId="30" fillId="5" borderId="7" xfId="34" applyNumberFormat="1" applyFont="1" applyFill="1" applyBorder="1" applyAlignment="1">
      <alignment horizontal="center" vertical="center"/>
    </xf>
    <xf numFmtId="1" fontId="31" fillId="5" borderId="0" xfId="32" applyNumberFormat="1" applyFont="1" applyFill="1" applyAlignment="1">
      <alignment horizontal="center" vertical="center"/>
    </xf>
    <xf numFmtId="0" fontId="24" fillId="5" borderId="3" xfId="32" applyNumberFormat="1" applyFont="1" applyFill="1" applyBorder="1" applyAlignment="1">
      <alignment horizontal="center" vertical="center"/>
    </xf>
    <xf numFmtId="0" fontId="24" fillId="5" borderId="2" xfId="32" applyNumberFormat="1" applyFont="1" applyFill="1" applyBorder="1" applyAlignment="1">
      <alignment horizontal="center" vertical="center"/>
    </xf>
    <xf numFmtId="0" fontId="24" fillId="5" borderId="4" xfId="32" applyNumberFormat="1" applyFont="1" applyFill="1" applyBorder="1" applyAlignment="1">
      <alignment horizontal="center" vertical="center"/>
    </xf>
    <xf numFmtId="0" fontId="21" fillId="5" borderId="0" xfId="32" applyNumberFormat="1" applyFont="1" applyFill="1"/>
    <xf numFmtId="170" fontId="30" fillId="7" borderId="8" xfId="34" applyNumberFormat="1" applyFont="1" applyFill="1" applyBorder="1" applyAlignment="1">
      <alignment horizontal="right" vertical="center"/>
    </xf>
    <xf numFmtId="2" fontId="30" fillId="3" borderId="6" xfId="34" applyNumberFormat="1" applyFont="1" applyFill="1" applyBorder="1" applyAlignment="1">
      <alignment horizontal="center" vertical="center"/>
    </xf>
    <xf numFmtId="2" fontId="30" fillId="3" borderId="7" xfId="34" applyNumberFormat="1" applyFont="1" applyFill="1" applyBorder="1" applyAlignment="1">
      <alignment horizontal="center" vertical="center"/>
    </xf>
    <xf numFmtId="171" fontId="21" fillId="5" borderId="0" xfId="27" applyNumberFormat="1" applyFont="1" applyFill="1" applyAlignment="1"/>
    <xf numFmtId="169" fontId="21" fillId="5" borderId="0" xfId="32" applyFont="1" applyFill="1" applyAlignment="1">
      <alignment horizontal="right"/>
    </xf>
    <xf numFmtId="2" fontId="28" fillId="5" borderId="0" xfId="32" applyNumberFormat="1" applyFont="1" applyFill="1"/>
    <xf numFmtId="169" fontId="30" fillId="5" borderId="0" xfId="34" applyFont="1" applyFill="1" applyBorder="1" applyAlignment="1">
      <alignment horizontal="right" vertical="center"/>
    </xf>
    <xf numFmtId="169" fontId="21" fillId="5" borderId="0" xfId="32" applyFont="1" applyFill="1" applyAlignment="1">
      <alignment vertical="center"/>
    </xf>
    <xf numFmtId="171" fontId="24" fillId="5" borderId="0" xfId="32" applyNumberFormat="1" applyFont="1" applyFill="1" applyAlignment="1">
      <alignment horizontal="center" vertical="center"/>
    </xf>
    <xf numFmtId="2" fontId="24" fillId="5" borderId="0" xfId="32" applyNumberFormat="1" applyFont="1" applyFill="1" applyAlignment="1">
      <alignment horizontal="center" vertical="center"/>
    </xf>
    <xf numFmtId="169" fontId="30" fillId="5" borderId="0" xfId="34" applyFont="1" applyFill="1" applyBorder="1" applyAlignment="1">
      <alignment horizontal="right"/>
    </xf>
    <xf numFmtId="0" fontId="32" fillId="0" borderId="0" xfId="35"/>
    <xf numFmtId="4" fontId="33" fillId="5" borderId="0" xfId="32" applyNumberFormat="1" applyFont="1" applyFill="1" applyAlignment="1">
      <alignment horizontal="center" vertical="center"/>
    </xf>
    <xf numFmtId="2" fontId="24" fillId="5" borderId="0" xfId="32" applyNumberFormat="1" applyFont="1" applyFill="1" applyAlignment="1">
      <alignment horizontal="center"/>
    </xf>
    <xf numFmtId="4" fontId="21" fillId="5" borderId="0" xfId="32" applyNumberFormat="1" applyFont="1" applyFill="1"/>
    <xf numFmtId="0" fontId="1" fillId="0" borderId="0" xfId="0" applyFont="1"/>
    <xf numFmtId="0" fontId="11" fillId="0" borderId="0" xfId="24" applyFont="1" applyAlignment="1" applyProtection="1">
      <alignment vertical="center"/>
      <protection hidden="1"/>
    </xf>
    <xf numFmtId="0" fontId="11" fillId="0" borderId="45" xfId="24" applyFont="1" applyBorder="1" applyAlignment="1" applyProtection="1">
      <alignment vertical="center"/>
      <protection hidden="1"/>
    </xf>
    <xf numFmtId="0" fontId="11" fillId="0" borderId="47" xfId="24" applyFont="1" applyBorder="1" applyAlignment="1" applyProtection="1">
      <alignment vertical="center"/>
      <protection hidden="1"/>
    </xf>
    <xf numFmtId="172" fontId="11" fillId="0" borderId="48" xfId="24" applyNumberFormat="1" applyFont="1" applyBorder="1" applyAlignment="1">
      <alignment vertical="center"/>
    </xf>
    <xf numFmtId="0" fontId="12" fillId="8" borderId="26" xfId="24" applyFont="1" applyFill="1" applyBorder="1" applyAlignment="1" applyProtection="1">
      <alignment horizontal="right" vertical="center"/>
      <protection hidden="1"/>
    </xf>
    <xf numFmtId="172" fontId="11" fillId="0" borderId="30" xfId="24" applyNumberFormat="1" applyFont="1" applyBorder="1" applyAlignment="1">
      <alignment vertical="center"/>
    </xf>
    <xf numFmtId="0" fontId="11" fillId="0" borderId="0" xfId="24" applyFont="1" applyAlignment="1" applyProtection="1">
      <alignment horizontal="right" vertical="center"/>
      <protection hidden="1"/>
    </xf>
    <xf numFmtId="172" fontId="12" fillId="0" borderId="46" xfId="24" applyNumberFormat="1" applyFont="1" applyBorder="1" applyAlignment="1">
      <alignment vertical="center"/>
    </xf>
    <xf numFmtId="172" fontId="12" fillId="0" borderId="30" xfId="24" applyNumberFormat="1" applyFont="1" applyBorder="1" applyAlignment="1">
      <alignment vertical="center"/>
    </xf>
    <xf numFmtId="0" fontId="12" fillId="9" borderId="44" xfId="24" applyFont="1" applyFill="1" applyBorder="1" applyAlignment="1" applyProtection="1">
      <alignment horizontal="center" vertical="center"/>
      <protection hidden="1"/>
    </xf>
    <xf numFmtId="0" fontId="12" fillId="0" borderId="47" xfId="24" applyFont="1" applyBorder="1" applyAlignment="1" applyProtection="1">
      <alignment horizontal="right" vertical="center"/>
      <protection hidden="1"/>
    </xf>
    <xf numFmtId="3" fontId="12" fillId="0" borderId="48" xfId="24" applyNumberFormat="1" applyFont="1" applyBorder="1" applyAlignment="1">
      <alignment vertical="center"/>
    </xf>
    <xf numFmtId="3" fontId="12" fillId="8" borderId="44" xfId="24" applyNumberFormat="1" applyFont="1" applyFill="1" applyBorder="1" applyAlignment="1">
      <alignment vertical="center"/>
    </xf>
    <xf numFmtId="0" fontId="11" fillId="0" borderId="47" xfId="24" applyFont="1" applyBorder="1" applyAlignment="1" applyProtection="1">
      <alignment horizontal="left" vertical="center"/>
      <protection hidden="1"/>
    </xf>
    <xf numFmtId="0" fontId="12" fillId="8" borderId="47" xfId="24" applyFont="1" applyFill="1" applyBorder="1" applyAlignment="1" applyProtection="1">
      <alignment horizontal="right" vertical="center"/>
      <protection hidden="1"/>
    </xf>
    <xf numFmtId="0" fontId="12" fillId="9" borderId="27" xfId="24" applyFont="1" applyFill="1" applyBorder="1" applyAlignment="1" applyProtection="1">
      <alignment horizontal="center" vertical="center"/>
      <protection hidden="1"/>
    </xf>
    <xf numFmtId="3" fontId="12" fillId="0" borderId="30" xfId="24" applyNumberFormat="1" applyFont="1" applyBorder="1" applyAlignment="1">
      <alignment vertical="center"/>
    </xf>
    <xf numFmtId="3" fontId="12" fillId="8" borderId="27" xfId="24" applyNumberFormat="1" applyFont="1" applyFill="1" applyBorder="1" applyAlignment="1">
      <alignment vertical="center"/>
    </xf>
    <xf numFmtId="3" fontId="12" fillId="8" borderId="30" xfId="24" applyNumberFormat="1" applyFont="1" applyFill="1" applyBorder="1" applyAlignment="1">
      <alignment vertical="center"/>
    </xf>
    <xf numFmtId="172" fontId="18" fillId="0" borderId="30" xfId="24" applyNumberFormat="1" applyFont="1" applyBorder="1" applyAlignment="1">
      <alignment vertical="center"/>
    </xf>
    <xf numFmtId="0" fontId="34" fillId="0" borderId="0" xfId="24" applyFont="1" applyAlignment="1" applyProtection="1">
      <alignment vertical="center"/>
      <protection hidden="1"/>
    </xf>
    <xf numFmtId="172" fontId="34" fillId="0" borderId="48" xfId="24" applyNumberFormat="1" applyFont="1" applyBorder="1" applyAlignment="1">
      <alignment vertical="center"/>
    </xf>
    <xf numFmtId="3" fontId="11" fillId="0" borderId="0" xfId="24" applyNumberFormat="1" applyFont="1" applyAlignment="1" applyProtection="1">
      <alignment vertical="center"/>
      <protection hidden="1"/>
    </xf>
    <xf numFmtId="10" fontId="11" fillId="0" borderId="0" xfId="24" applyNumberFormat="1" applyFont="1" applyAlignment="1" applyProtection="1">
      <alignment vertical="center"/>
      <protection hidden="1"/>
    </xf>
    <xf numFmtId="0" fontId="12" fillId="0" borderId="0" xfId="24" applyFont="1" applyAlignment="1" applyProtection="1">
      <alignment horizontal="center" vertical="center"/>
      <protection hidden="1"/>
    </xf>
    <xf numFmtId="0" fontId="12" fillId="0" borderId="0" xfId="24" applyFont="1" applyAlignment="1" applyProtection="1">
      <alignment horizontal="right" vertical="center"/>
      <protection hidden="1"/>
    </xf>
    <xf numFmtId="3" fontId="12" fillId="8" borderId="48" xfId="24" applyNumberFormat="1" applyFont="1" applyFill="1" applyBorder="1" applyAlignment="1">
      <alignment vertical="center"/>
    </xf>
    <xf numFmtId="0" fontId="37" fillId="5" borderId="0" xfId="10" applyFont="1" applyFill="1" applyAlignment="1"/>
    <xf numFmtId="0" fontId="38" fillId="0" borderId="0" xfId="24" applyFont="1" applyAlignment="1" applyProtection="1">
      <alignment horizontal="center" vertical="center"/>
      <protection hidden="1"/>
    </xf>
    <xf numFmtId="0" fontId="11" fillId="0" borderId="47" xfId="24" applyFont="1" applyBorder="1" applyAlignment="1" applyProtection="1">
      <alignment horizontal="left" vertical="center" indent="1"/>
      <protection hidden="1"/>
    </xf>
    <xf numFmtId="0" fontId="11" fillId="0" borderId="47" xfId="24" applyFont="1" applyBorder="1" applyAlignment="1" applyProtection="1">
      <alignment horizontal="left" vertical="center" indent="2"/>
      <protection hidden="1"/>
    </xf>
    <xf numFmtId="0" fontId="11" fillId="0" borderId="47" xfId="24" applyFont="1" applyBorder="1" applyAlignment="1" applyProtection="1">
      <alignment horizontal="left" vertical="center" indent="4"/>
      <protection hidden="1"/>
    </xf>
    <xf numFmtId="172" fontId="18" fillId="0" borderId="48" xfId="24" applyNumberFormat="1" applyFont="1" applyBorder="1" applyAlignment="1">
      <alignment vertical="center"/>
    </xf>
    <xf numFmtId="2" fontId="39" fillId="3" borderId="14" xfId="16" applyNumberFormat="1" applyFont="1" applyFill="1" applyBorder="1" applyAlignment="1">
      <alignment horizontal="center" vertical="center"/>
    </xf>
    <xf numFmtId="2" fontId="39" fillId="3" borderId="15" xfId="16" applyNumberFormat="1" applyFont="1" applyFill="1" applyBorder="1" applyAlignment="1">
      <alignment horizontal="center" vertical="center"/>
    </xf>
    <xf numFmtId="0" fontId="39" fillId="10" borderId="17" xfId="16" applyFont="1" applyFill="1" applyBorder="1" applyAlignment="1">
      <alignment horizontal="right" vertical="center"/>
    </xf>
    <xf numFmtId="2" fontId="39" fillId="10" borderId="14" xfId="16" applyNumberFormat="1" applyFont="1" applyFill="1" applyBorder="1" applyAlignment="1">
      <alignment horizontal="center" vertical="center"/>
    </xf>
    <xf numFmtId="2" fontId="39" fillId="10" borderId="15" xfId="16" applyNumberFormat="1" applyFont="1" applyFill="1" applyBorder="1" applyAlignment="1">
      <alignment horizontal="center" vertical="center"/>
    </xf>
    <xf numFmtId="0" fontId="39" fillId="5" borderId="17" xfId="16" applyFont="1" applyFill="1" applyBorder="1" applyAlignment="1">
      <alignment horizontal="right" vertical="center"/>
    </xf>
    <xf numFmtId="0" fontId="40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/>
    <xf numFmtId="9" fontId="40" fillId="0" borderId="0" xfId="0" applyNumberFormat="1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vertical="center"/>
      <protection locked="0"/>
    </xf>
    <xf numFmtId="4" fontId="40" fillId="0" borderId="0" xfId="0" applyNumberFormat="1" applyFont="1" applyAlignment="1" applyProtection="1">
      <alignment horizontal="center" vertical="center"/>
      <protection locked="0"/>
    </xf>
    <xf numFmtId="4" fontId="40" fillId="0" borderId="0" xfId="0" applyNumberFormat="1" applyFont="1" applyAlignment="1" applyProtection="1">
      <alignment horizontal="center" vertical="center"/>
    </xf>
    <xf numFmtId="0" fontId="41" fillId="0" borderId="50" xfId="0" applyFont="1" applyBorder="1" applyAlignment="1" applyProtection="1">
      <alignment vertical="center"/>
      <protection locked="0"/>
    </xf>
    <xf numFmtId="0" fontId="41" fillId="0" borderId="14" xfId="0" applyFont="1" applyBorder="1" applyAlignment="1" applyProtection="1">
      <alignment horizontal="right" vertical="center"/>
      <protection locked="0"/>
    </xf>
    <xf numFmtId="2" fontId="40" fillId="0" borderId="0" xfId="0" applyNumberFormat="1" applyFont="1"/>
    <xf numFmtId="0" fontId="39" fillId="0" borderId="0" xfId="0" applyFont="1" applyAlignment="1" applyProtection="1">
      <alignment vertical="center" wrapText="1"/>
      <protection locked="0"/>
    </xf>
    <xf numFmtId="2" fontId="39" fillId="11" borderId="14" xfId="16" applyNumberFormat="1" applyFont="1" applyFill="1" applyBorder="1" applyAlignment="1">
      <alignment horizontal="center" vertical="center"/>
    </xf>
    <xf numFmtId="2" fontId="39" fillId="11" borderId="14" xfId="16" applyNumberFormat="1" applyFont="1" applyFill="1" applyBorder="1" applyAlignment="1" applyProtection="1">
      <alignment horizontal="center" vertical="center"/>
    </xf>
    <xf numFmtId="2" fontId="39" fillId="11" borderId="15" xfId="16" applyNumberFormat="1" applyFont="1" applyFill="1" applyBorder="1" applyAlignment="1" applyProtection="1">
      <alignment horizontal="center" vertical="center"/>
    </xf>
    <xf numFmtId="0" fontId="45" fillId="0" borderId="0" xfId="36" applyFont="1" applyAlignment="1">
      <alignment horizontal="center" vertical="center"/>
    </xf>
    <xf numFmtId="0" fontId="44" fillId="0" borderId="43" xfId="36" applyFont="1" applyBorder="1" applyAlignment="1">
      <alignment vertical="center"/>
    </xf>
    <xf numFmtId="0" fontId="44" fillId="0" borderId="44" xfId="36" applyFont="1" applyBorder="1" applyAlignment="1">
      <alignment vertical="center"/>
    </xf>
    <xf numFmtId="0" fontId="30" fillId="0" borderId="27" xfId="36" applyFont="1" applyBorder="1" applyAlignment="1">
      <alignment horizontal="center" vertical="center"/>
    </xf>
    <xf numFmtId="0" fontId="30" fillId="12" borderId="27" xfId="36" applyFont="1" applyFill="1" applyBorder="1" applyAlignment="1">
      <alignment horizontal="center" vertical="center" wrapText="1"/>
    </xf>
    <xf numFmtId="0" fontId="30" fillId="10" borderId="27" xfId="36" applyFont="1" applyFill="1" applyBorder="1" applyAlignment="1">
      <alignment horizontal="center" vertical="center" wrapText="1"/>
    </xf>
    <xf numFmtId="0" fontId="30" fillId="0" borderId="27" xfId="36" applyFont="1" applyBorder="1" applyAlignment="1">
      <alignment horizontal="center" vertical="center" wrapText="1"/>
    </xf>
    <xf numFmtId="0" fontId="45" fillId="0" borderId="27" xfId="36" applyFont="1" applyBorder="1" applyAlignment="1">
      <alignment horizontal="left" vertical="center"/>
    </xf>
    <xf numFmtId="2" fontId="45" fillId="12" borderId="27" xfId="36" applyNumberFormat="1" applyFont="1" applyFill="1" applyBorder="1" applyAlignment="1">
      <alignment horizontal="right" vertical="center"/>
    </xf>
    <xf numFmtId="2" fontId="45" fillId="10" borderId="27" xfId="36" applyNumberFormat="1" applyFont="1" applyFill="1" applyBorder="1" applyAlignment="1">
      <alignment horizontal="right" vertical="center"/>
    </xf>
    <xf numFmtId="171" fontId="45" fillId="0" borderId="27" xfId="36" applyNumberFormat="1" applyFont="1" applyBorder="1" applyAlignment="1">
      <alignment horizontal="right" vertical="center"/>
    </xf>
    <xf numFmtId="2" fontId="45" fillId="0" borderId="27" xfId="36" applyNumberFormat="1" applyFont="1" applyBorder="1" applyAlignment="1">
      <alignment horizontal="right" vertical="center"/>
    </xf>
    <xf numFmtId="4" fontId="45" fillId="0" borderId="0" xfId="36" applyNumberFormat="1" applyFont="1" applyAlignment="1">
      <alignment horizontal="center" vertical="center"/>
    </xf>
    <xf numFmtId="0" fontId="44" fillId="0" borderId="27" xfId="36" applyFont="1" applyBorder="1" applyAlignment="1">
      <alignment vertical="center"/>
    </xf>
    <xf numFmtId="171" fontId="45" fillId="0" borderId="0" xfId="36" applyNumberFormat="1" applyFont="1" applyAlignment="1">
      <alignment horizontal="right" vertical="center"/>
    </xf>
    <xf numFmtId="2" fontId="45" fillId="0" borderId="0" xfId="36" applyNumberFormat="1" applyFont="1" applyAlignment="1">
      <alignment horizontal="right" vertical="center"/>
    </xf>
    <xf numFmtId="10" fontId="45" fillId="0" borderId="0" xfId="36" applyNumberFormat="1" applyFont="1" applyAlignment="1">
      <alignment horizontal="center" vertical="center"/>
    </xf>
    <xf numFmtId="3" fontId="19" fillId="0" borderId="0" xfId="0" applyNumberFormat="1" applyFont="1" applyAlignment="1" applyProtection="1">
      <alignment vertical="center"/>
      <protection locked="0"/>
    </xf>
    <xf numFmtId="0" fontId="20" fillId="0" borderId="39" xfId="0" applyFont="1" applyBorder="1" applyAlignment="1">
      <alignment vertical="center"/>
    </xf>
    <xf numFmtId="0" fontId="20" fillId="0" borderId="0" xfId="0" applyFont="1" applyAlignment="1">
      <alignment horizontal="center"/>
    </xf>
    <xf numFmtId="0" fontId="46" fillId="0" borderId="27" xfId="36" applyFont="1" applyBorder="1" applyAlignment="1">
      <alignment horizontal="center" vertical="center"/>
    </xf>
    <xf numFmtId="0" fontId="46" fillId="12" borderId="27" xfId="36" applyFont="1" applyFill="1" applyBorder="1" applyAlignment="1">
      <alignment horizontal="center" vertical="center" wrapText="1"/>
    </xf>
    <xf numFmtId="0" fontId="46" fillId="10" borderId="27" xfId="36" applyFont="1" applyFill="1" applyBorder="1" applyAlignment="1">
      <alignment horizontal="center" vertical="center" wrapText="1"/>
    </xf>
    <xf numFmtId="0" fontId="46" fillId="0" borderId="27" xfId="36" applyFont="1" applyBorder="1" applyAlignment="1">
      <alignment horizontal="center" vertical="center" wrapText="1"/>
    </xf>
    <xf numFmtId="0" fontId="47" fillId="5" borderId="5" xfId="16" applyFont="1" applyFill="1" applyBorder="1" applyAlignment="1">
      <alignment horizontal="center" vertical="center"/>
    </xf>
    <xf numFmtId="0" fontId="47" fillId="5" borderId="6" xfId="16" applyFont="1" applyFill="1" applyBorder="1" applyAlignment="1">
      <alignment horizontal="center" vertical="center"/>
    </xf>
    <xf numFmtId="0" fontId="47" fillId="5" borderId="7" xfId="16" applyFont="1" applyFill="1" applyBorder="1" applyAlignment="1">
      <alignment horizontal="center" vertical="center"/>
    </xf>
    <xf numFmtId="0" fontId="48" fillId="5" borderId="3" xfId="0" applyFont="1" applyFill="1" applyBorder="1" applyAlignment="1">
      <alignment horizontal="center" vertical="center"/>
    </xf>
    <xf numFmtId="0" fontId="48" fillId="5" borderId="2" xfId="0" applyFont="1" applyFill="1" applyBorder="1" applyAlignment="1">
      <alignment horizontal="center" vertical="center"/>
    </xf>
    <xf numFmtId="0" fontId="48" fillId="5" borderId="4" xfId="0" applyFont="1" applyFill="1" applyBorder="1" applyAlignment="1">
      <alignment horizontal="center" vertical="center"/>
    </xf>
    <xf numFmtId="2" fontId="47" fillId="10" borderId="14" xfId="16" applyNumberFormat="1" applyFont="1" applyFill="1" applyBorder="1" applyAlignment="1">
      <alignment horizontal="center" vertical="center"/>
    </xf>
    <xf numFmtId="2" fontId="47" fillId="10" borderId="15" xfId="16" applyNumberFormat="1" applyFont="1" applyFill="1" applyBorder="1" applyAlignment="1">
      <alignment horizontal="center" vertical="center"/>
    </xf>
    <xf numFmtId="2" fontId="47" fillId="10" borderId="52" xfId="16" applyNumberFormat="1" applyFont="1" applyFill="1" applyBorder="1" applyAlignment="1">
      <alignment horizontal="center" vertical="center"/>
    </xf>
    <xf numFmtId="2" fontId="47" fillId="10" borderId="8" xfId="16" applyNumberFormat="1" applyFont="1" applyFill="1" applyBorder="1" applyAlignment="1">
      <alignment horizontal="center" vertical="center"/>
    </xf>
    <xf numFmtId="2" fontId="47" fillId="10" borderId="1" xfId="16" applyNumberFormat="1" applyFont="1" applyFill="1" applyBorder="1" applyAlignment="1">
      <alignment horizontal="center" vertical="center"/>
    </xf>
    <xf numFmtId="2" fontId="47" fillId="10" borderId="9" xfId="16" applyNumberFormat="1" applyFont="1" applyFill="1" applyBorder="1" applyAlignment="1">
      <alignment horizontal="center" vertical="center"/>
    </xf>
    <xf numFmtId="0" fontId="41" fillId="0" borderId="53" xfId="0" applyFont="1" applyBorder="1" applyAlignment="1" applyProtection="1">
      <alignment vertical="center"/>
      <protection locked="0"/>
    </xf>
    <xf numFmtId="2" fontId="47" fillId="11" borderId="54" xfId="16" applyNumberFormat="1" applyFont="1" applyFill="1" applyBorder="1" applyAlignment="1">
      <alignment horizontal="center" vertical="center"/>
    </xf>
    <xf numFmtId="2" fontId="47" fillId="11" borderId="20" xfId="16" applyNumberFormat="1" applyFont="1" applyFill="1" applyBorder="1" applyAlignment="1" applyProtection="1">
      <alignment horizontal="center" vertical="center"/>
    </xf>
    <xf numFmtId="2" fontId="47" fillId="11" borderId="21" xfId="16" applyNumberFormat="1" applyFont="1" applyFill="1" applyBorder="1" applyAlignment="1" applyProtection="1">
      <alignment horizontal="center" vertical="center"/>
    </xf>
    <xf numFmtId="2" fontId="49" fillId="3" borderId="55" xfId="16" applyNumberFormat="1" applyFont="1" applyFill="1" applyBorder="1" applyAlignment="1">
      <alignment horizontal="center" vertical="center"/>
    </xf>
    <xf numFmtId="2" fontId="49" fillId="3" borderId="12" xfId="16" applyNumberFormat="1" applyFont="1" applyFill="1" applyBorder="1" applyAlignment="1">
      <alignment horizontal="center" vertical="center"/>
    </xf>
    <xf numFmtId="2" fontId="49" fillId="3" borderId="13" xfId="16" applyNumberFormat="1" applyFont="1" applyFill="1" applyBorder="1" applyAlignment="1">
      <alignment horizontal="center" vertical="center"/>
    </xf>
    <xf numFmtId="2" fontId="49" fillId="3" borderId="52" xfId="16" applyNumberFormat="1" applyFont="1" applyFill="1" applyBorder="1" applyAlignment="1">
      <alignment horizontal="center" vertical="center"/>
    </xf>
    <xf numFmtId="2" fontId="49" fillId="3" borderId="14" xfId="16" applyNumberFormat="1" applyFont="1" applyFill="1" applyBorder="1" applyAlignment="1">
      <alignment horizontal="center" vertical="center"/>
    </xf>
    <xf numFmtId="2" fontId="49" fillId="3" borderId="15" xfId="16" applyNumberFormat="1" applyFont="1" applyFill="1" applyBorder="1" applyAlignment="1">
      <alignment horizontal="center" vertical="center"/>
    </xf>
    <xf numFmtId="0" fontId="40" fillId="0" borderId="16" xfId="0" applyFont="1" applyBorder="1" applyAlignment="1" applyProtection="1">
      <alignment horizontal="right" vertical="center"/>
      <protection locked="0"/>
    </xf>
    <xf numFmtId="0" fontId="40" fillId="0" borderId="17" xfId="0" applyFont="1" applyBorder="1" applyAlignment="1" applyProtection="1">
      <alignment horizontal="right" vertical="center"/>
      <protection locked="0"/>
    </xf>
    <xf numFmtId="0" fontId="50" fillId="10" borderId="17" xfId="16" applyFont="1" applyFill="1" applyBorder="1" applyAlignment="1">
      <alignment horizontal="right" vertical="center"/>
    </xf>
    <xf numFmtId="0" fontId="50" fillId="5" borderId="17" xfId="16" applyFont="1" applyFill="1" applyBorder="1" applyAlignment="1">
      <alignment horizontal="right" vertical="center"/>
    </xf>
    <xf numFmtId="0" fontId="50" fillId="10" borderId="18" xfId="16" applyFont="1" applyFill="1" applyBorder="1" applyAlignment="1">
      <alignment horizontal="right" vertical="center"/>
    </xf>
    <xf numFmtId="0" fontId="44" fillId="0" borderId="26" xfId="36" applyFont="1" applyBorder="1" applyAlignment="1">
      <alignment horizontal="left" vertical="center"/>
    </xf>
    <xf numFmtId="0" fontId="44" fillId="0" borderId="43" xfId="36" applyFont="1" applyBorder="1" applyAlignment="1">
      <alignment horizontal="left" vertical="center"/>
    </xf>
    <xf numFmtId="0" fontId="44" fillId="0" borderId="44" xfId="36" applyFont="1" applyBorder="1" applyAlignment="1">
      <alignment horizontal="left" vertical="center"/>
    </xf>
    <xf numFmtId="0" fontId="44" fillId="0" borderId="51" xfId="36" applyFont="1" applyBorder="1" applyAlignment="1">
      <alignment horizontal="center" vertical="center"/>
    </xf>
    <xf numFmtId="0" fontId="44" fillId="0" borderId="27" xfId="36" applyFont="1" applyBorder="1" applyAlignment="1">
      <alignment horizontal="center" vertical="center"/>
    </xf>
    <xf numFmtId="0" fontId="42" fillId="0" borderId="0" xfId="0" applyFont="1" applyAlignment="1" applyProtection="1">
      <alignment horizontal="center" vertical="center"/>
      <protection locked="0"/>
    </xf>
    <xf numFmtId="169" fontId="23" fillId="2" borderId="0" xfId="33" applyFont="1" applyFill="1" applyAlignment="1">
      <alignment horizontal="center" vertical="center"/>
    </xf>
    <xf numFmtId="0" fontId="13" fillId="2" borderId="0" xfId="2" applyFont="1" applyFill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2" fillId="0" borderId="26" xfId="24" applyFont="1" applyBorder="1" applyAlignment="1" applyProtection="1">
      <alignment horizontal="center" vertical="center"/>
      <protection hidden="1"/>
    </xf>
    <xf numFmtId="0" fontId="12" fillId="0" borderId="43" xfId="24" applyFont="1" applyBorder="1" applyAlignment="1" applyProtection="1">
      <alignment horizontal="center" vertical="center"/>
      <protection hidden="1"/>
    </xf>
    <xf numFmtId="0" fontId="12" fillId="0" borderId="44" xfId="24" applyFont="1" applyBorder="1" applyAlignment="1" applyProtection="1">
      <alignment horizontal="center" vertical="center"/>
      <protection hidden="1"/>
    </xf>
    <xf numFmtId="0" fontId="12" fillId="9" borderId="45" xfId="24" applyFont="1" applyFill="1" applyBorder="1" applyAlignment="1" applyProtection="1">
      <alignment horizontal="center" vertical="center"/>
      <protection hidden="1"/>
    </xf>
    <xf numFmtId="0" fontId="12" fillId="9" borderId="49" xfId="24" applyFont="1" applyFill="1" applyBorder="1" applyAlignment="1" applyProtection="1">
      <alignment horizontal="center" vertical="center"/>
      <protection hidden="1"/>
    </xf>
  </cellXfs>
  <cellStyles count="37">
    <cellStyle name="Comma_Volumes Shell Q1 Q2 e Q3 2007" xfId="1" xr:uid="{00000000-0005-0000-0000-000000000000}"/>
    <cellStyle name="Cor1" xfId="2" builtinId="29"/>
    <cellStyle name="Cor1 2" xfId="33" xr:uid="{420C2467-1BC8-4B97-A384-EF9A44F16C53}"/>
    <cellStyle name="Euro" xfId="3" xr:uid="{00000000-0005-0000-0000-000002000000}"/>
    <cellStyle name="Euro 2" xfId="4" xr:uid="{00000000-0005-0000-0000-000003000000}"/>
    <cellStyle name="Euro 2 2" xfId="22" xr:uid="{00000000-0005-0000-0000-000004000000}"/>
    <cellStyle name="Euro 3" xfId="21" xr:uid="{00000000-0005-0000-0000-000005000000}"/>
    <cellStyle name="Milliers_GMargin" xfId="5" xr:uid="{00000000-0005-0000-0000-000006000000}"/>
    <cellStyle name="Normal" xfId="0" builtinId="0"/>
    <cellStyle name="Normal 2" xfId="6" xr:uid="{00000000-0005-0000-0000-000008000000}"/>
    <cellStyle name="Normal 2 2" xfId="23" xr:uid="{00000000-0005-0000-0000-000009000000}"/>
    <cellStyle name="Normal 3" xfId="7" xr:uid="{00000000-0005-0000-0000-00000A000000}"/>
    <cellStyle name="Normal 3 2" xfId="24" xr:uid="{00000000-0005-0000-0000-00000B000000}"/>
    <cellStyle name="Normal 4" xfId="8" xr:uid="{00000000-0005-0000-0000-00000C000000}"/>
    <cellStyle name="Normal 4 2" xfId="25" xr:uid="{00000000-0005-0000-0000-00000D000000}"/>
    <cellStyle name="Normal 5" xfId="9" xr:uid="{00000000-0005-0000-0000-00000E000000}"/>
    <cellStyle name="Normal 6" xfId="10" xr:uid="{00000000-0005-0000-0000-00000F000000}"/>
    <cellStyle name="Normal 6 2" xfId="32" xr:uid="{C8A8C64B-8A96-487F-89E7-0B554B89FCD2}"/>
    <cellStyle name="Normal 7" xfId="11" xr:uid="{00000000-0005-0000-0000-000010000000}"/>
    <cellStyle name="Normal 7 2" xfId="30" xr:uid="{00000000-0005-0000-0000-000011000000}"/>
    <cellStyle name="Normal 8" xfId="35" xr:uid="{C86245A9-07F8-4223-847B-5D42677208E0}"/>
    <cellStyle name="Normal 9" xfId="36" xr:uid="{F80C459C-61B5-467F-84C0-FB7612ABA31A}"/>
    <cellStyle name="Percentagem 2" xfId="12" xr:uid="{00000000-0005-0000-0000-000012000000}"/>
    <cellStyle name="Percentagem 2 2" xfId="27" xr:uid="{00000000-0005-0000-0000-000013000000}"/>
    <cellStyle name="Percentagem 3" xfId="13" xr:uid="{00000000-0005-0000-0000-000014000000}"/>
    <cellStyle name="Percentagem 4" xfId="14" xr:uid="{00000000-0005-0000-0000-000015000000}"/>
    <cellStyle name="Percentagem 5" xfId="15" xr:uid="{00000000-0005-0000-0000-000016000000}"/>
    <cellStyle name="Percentagem 5 2" xfId="28" xr:uid="{00000000-0005-0000-0000-000017000000}"/>
    <cellStyle name="Percentagem 6" xfId="26" xr:uid="{00000000-0005-0000-0000-000018000000}"/>
    <cellStyle name="Total" xfId="16" builtinId="25"/>
    <cellStyle name="Total 2" xfId="34" xr:uid="{FCAB6C8B-7829-4240-996B-AC8A35247630}"/>
    <cellStyle name="Vírgula 2" xfId="17" xr:uid="{00000000-0005-0000-0000-00001A000000}"/>
    <cellStyle name="Vírgula 2 2" xfId="18" xr:uid="{00000000-0005-0000-0000-00001B000000}"/>
    <cellStyle name="Vírgula 3" xfId="19" xr:uid="{00000000-0005-0000-0000-00001C000000}"/>
    <cellStyle name="Vírgula 4" xfId="20" xr:uid="{00000000-0005-0000-0000-00001D000000}"/>
    <cellStyle name="Vírgula 4 2" xfId="31" xr:uid="{00000000-0005-0000-0000-00001E000000}"/>
    <cellStyle name="Vírgula 5" xfId="29" xr:uid="{00000000-0005-0000-0000-00001F000000}"/>
  </cellStyles>
  <dxfs count="12"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/>
      </font>
    </dxf>
    <dxf>
      <font>
        <color rgb="FFFF0000"/>
      </font>
    </dxf>
  </dxfs>
  <tableStyles count="0" defaultTableStyle="TableStyleMedium9" defaultPivotStyle="PivotStyleLight16"/>
  <colors>
    <mruColors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1009650</xdr:colOff>
      <xdr:row>0</xdr:row>
      <xdr:rowOff>0</xdr:rowOff>
    </xdr:from>
    <xdr:to>
      <xdr:col>5</xdr:col>
      <xdr:colOff>533518</xdr:colOff>
      <xdr:row>4</xdr:row>
      <xdr:rowOff>154779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1400" y="0"/>
          <a:ext cx="1703506" cy="110727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E/Electricidade%20e%20&#225;gua/AEB/ARE/Combustiveis/Enacol/ARE/TCUP/An&#225;lise%20financeira%20-%20TCUP/AF_Shell_2008-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_99\FasterTandR99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RE/Combustiveis/Sector/AF%20-%202016%20a%202018/AF%20ficheiro%20Vivo%20Energy%20-%202016-202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RE/Combustiveis/Sector/AF%20-%202016%20a%202018/AF%20ficheiro%20Enacol%20-%202016-2020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INANCE%20REPORTING\SCV%20FASTER%20Q1%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ROSS%20MARGEM%202000\MAPA%20AUX%20Q1-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ARE/Combustiveis/Revis&#227;o%20tarif&#225;ria%202020-2024/Modela&#231;&#227;o%20financeira/MEF/Final/Enacol/Reafeta&#231;&#227;o/MEF_V-Enacol%20Afecta&#231;&#227;o%20Empresa%2028092021_II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ACTIVO"/>
      <sheetName val="PN Y PASIVO"/>
      <sheetName val="PyG"/>
      <sheetName val="RATIOS"/>
      <sheetName val="PREDICCIONES"/>
      <sheetName val="GRAFICOS"/>
      <sheetName val="EFE"/>
      <sheetName val="Hoja trabajo 1"/>
      <sheetName val="Hoja trabajo 2"/>
      <sheetName val="Hoja trabajo 3"/>
      <sheetName val="Hoja trabajo 4"/>
      <sheetName val="BALANCE 2"/>
      <sheetName val="PyG 2"/>
      <sheetName val="Datos gráficos"/>
    </sheetNames>
    <sheetDataSet>
      <sheetData sheetId="0">
        <row r="21">
          <cell r="E21">
            <v>35000</v>
          </cell>
          <cell r="F21">
            <v>30000</v>
          </cell>
          <cell r="G21">
            <v>25000</v>
          </cell>
          <cell r="H21">
            <v>15000</v>
          </cell>
          <cell r="I21">
            <v>10000</v>
          </cell>
        </row>
      </sheetData>
      <sheetData sheetId="1">
        <row r="35">
          <cell r="B35">
            <v>5310746</v>
          </cell>
          <cell r="D35">
            <v>3946330</v>
          </cell>
          <cell r="F35">
            <v>3371576</v>
          </cell>
          <cell r="H35">
            <v>0</v>
          </cell>
          <cell r="J35">
            <v>0</v>
          </cell>
        </row>
        <row r="68">
          <cell r="B68">
            <v>8026407</v>
          </cell>
          <cell r="D68">
            <v>6163352</v>
          </cell>
          <cell r="F68">
            <v>5625521</v>
          </cell>
          <cell r="H68">
            <v>0</v>
          </cell>
          <cell r="J68">
            <v>0</v>
          </cell>
        </row>
      </sheetData>
      <sheetData sheetId="2">
        <row r="7">
          <cell r="B7">
            <v>5625756</v>
          </cell>
          <cell r="D7">
            <v>4672686</v>
          </cell>
          <cell r="F7">
            <v>4028691</v>
          </cell>
          <cell r="H7">
            <v>0</v>
          </cell>
          <cell r="J7">
            <v>0</v>
          </cell>
        </row>
        <row r="8">
          <cell r="B8">
            <v>5403767</v>
          </cell>
          <cell r="D8">
            <v>4480159</v>
          </cell>
          <cell r="F8">
            <v>3862981</v>
          </cell>
          <cell r="H8">
            <v>0</v>
          </cell>
          <cell r="J8">
            <v>0</v>
          </cell>
        </row>
        <row r="13">
          <cell r="B13">
            <v>4420058</v>
          </cell>
          <cell r="D13">
            <v>3802880</v>
          </cell>
          <cell r="F13">
            <v>3138717</v>
          </cell>
          <cell r="H13">
            <v>0</v>
          </cell>
          <cell r="J13">
            <v>0</v>
          </cell>
        </row>
        <row r="44">
          <cell r="B44">
            <v>2156098</v>
          </cell>
          <cell r="D44">
            <v>1395834</v>
          </cell>
          <cell r="F44">
            <v>1330918</v>
          </cell>
          <cell r="H44">
            <v>0</v>
          </cell>
          <cell r="J44">
            <v>0</v>
          </cell>
        </row>
        <row r="63">
          <cell r="B63">
            <v>8026407</v>
          </cell>
          <cell r="D63">
            <v>6163352</v>
          </cell>
          <cell r="F63">
            <v>5625521</v>
          </cell>
          <cell r="H63">
            <v>0</v>
          </cell>
          <cell r="J63">
            <v>0</v>
          </cell>
        </row>
      </sheetData>
      <sheetData sheetId="3">
        <row r="8">
          <cell r="B8">
            <v>4323834</v>
          </cell>
          <cell r="E8">
            <v>3522485</v>
          </cell>
          <cell r="H8">
            <v>3272116</v>
          </cell>
          <cell r="K8">
            <v>0</v>
          </cell>
          <cell r="N8">
            <v>0</v>
          </cell>
        </row>
        <row r="36">
          <cell r="B36">
            <v>1375361</v>
          </cell>
          <cell r="E36">
            <v>907095</v>
          </cell>
          <cell r="H36">
            <v>983470</v>
          </cell>
          <cell r="K36">
            <v>0</v>
          </cell>
          <cell r="N36">
            <v>0</v>
          </cell>
        </row>
        <row r="60">
          <cell r="B60">
            <v>923608</v>
          </cell>
          <cell r="E60">
            <v>617178</v>
          </cell>
          <cell r="H60">
            <v>664163</v>
          </cell>
          <cell r="K60">
            <v>0</v>
          </cell>
          <cell r="N60">
            <v>0</v>
          </cell>
        </row>
      </sheetData>
      <sheetData sheetId="4">
        <row r="10">
          <cell r="B10">
            <v>3154648</v>
          </cell>
          <cell r="C10">
            <v>2550496</v>
          </cell>
          <cell r="D10">
            <v>2040658</v>
          </cell>
          <cell r="E10" t="str">
            <v/>
          </cell>
          <cell r="F10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</sheetNames>
    <sheetDataSet>
      <sheetData sheetId="0" refreshError="1">
        <row r="18">
          <cell r="H18" t="str">
            <v>CVE</v>
          </cell>
        </row>
        <row r="19">
          <cell r="H19">
            <v>1000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 e legenda"/>
      <sheetName val="Dados iniciais"/>
      <sheetName val="Activo"/>
      <sheetName val="Capital próprio e Passivo"/>
      <sheetName val="Anexos do balanço"/>
      <sheetName val="Rendimentos e ganhos"/>
      <sheetName val="Gastos e perdas"/>
      <sheetName val="Balanço financeiro"/>
      <sheetName val="Demonstr. dos resultados (DR)"/>
      <sheetName val="DR para a gestão"/>
      <sheetName val="Mapa dos fluxos de caixa"/>
      <sheetName val="Fundo de maneio necessário"/>
      <sheetName val="Análise"/>
      <sheetName val="Prognóstico"/>
      <sheetName val="Fórmulas"/>
      <sheetName val="Lista"/>
    </sheetNames>
    <sheetDataSet>
      <sheetData sheetId="0"/>
      <sheetData sheetId="1">
        <row r="7">
          <cell r="D7" t="str">
            <v>VIVO ENERGY, CABO VERDE, SA</v>
          </cell>
        </row>
      </sheetData>
      <sheetData sheetId="2"/>
      <sheetData sheetId="3"/>
      <sheetData sheetId="4"/>
      <sheetData sheetId="5">
        <row r="11">
          <cell r="L11">
            <v>0</v>
          </cell>
          <cell r="O11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21">
          <cell r="D21">
            <v>926207</v>
          </cell>
          <cell r="E21">
            <v>1369133</v>
          </cell>
          <cell r="F21">
            <v>637565</v>
          </cell>
        </row>
        <row r="25">
          <cell r="D25">
            <v>2514542</v>
          </cell>
          <cell r="E25">
            <v>2186874</v>
          </cell>
          <cell r="F25">
            <v>1784831</v>
          </cell>
        </row>
      </sheetData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 e legenda"/>
      <sheetName val="Dados iniciais"/>
      <sheetName val="Activo"/>
      <sheetName val="Capital próprio e Passivo"/>
      <sheetName val="Anexos do balanço"/>
      <sheetName val="Rendimentos e ganhos"/>
      <sheetName val="Gastos e perdas"/>
      <sheetName val="Balanço financeiro"/>
      <sheetName val="Demonstr. dos resultados (DR)"/>
      <sheetName val="DR para a gestão"/>
      <sheetName val="Mapa dos fluxos de caixa"/>
      <sheetName val="Fundo de maneio necessário"/>
      <sheetName val="Análise"/>
      <sheetName val="Prognóstico"/>
      <sheetName val="Fórmulas"/>
      <sheetName val="Lista"/>
    </sheetNames>
    <sheetDataSet>
      <sheetData sheetId="0"/>
      <sheetData sheetId="1">
        <row r="7">
          <cell r="D7" t="str">
            <v>ENACOL, S.A.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1">
          <cell r="D21">
            <v>4052992</v>
          </cell>
          <cell r="E21">
            <v>4056857</v>
          </cell>
          <cell r="F21">
            <v>3572295</v>
          </cell>
        </row>
        <row r="25">
          <cell r="D25">
            <v>5163846.5</v>
          </cell>
          <cell r="E25">
            <v>5327202</v>
          </cell>
          <cell r="F25">
            <v>4183090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Reference Data"/>
      <sheetName val="DATA"/>
      <sheetName val="OU Segmented Data"/>
      <sheetName val="TotalsToAllocate"/>
      <sheetName val="Allocation Keys"/>
    </sheetNames>
    <sheetDataSet>
      <sheetData sheetId="0" refreshError="1"/>
      <sheetData sheetId="1" refreshError="1"/>
      <sheetData sheetId="2" refreshError="1"/>
      <sheetData sheetId="3"/>
      <sheetData sheetId="4"/>
      <sheetData sheetId="5">
        <row r="36">
          <cell r="D36">
            <v>0.96571428571428564</v>
          </cell>
          <cell r="E36">
            <v>2.8571428571428571E-2</v>
          </cell>
          <cell r="F36">
            <v>5.7142857142857143E-3</v>
          </cell>
          <cell r="G36">
            <v>0</v>
          </cell>
          <cell r="H36">
            <v>0.99999999999999989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P36">
            <v>0.95833333333333337</v>
          </cell>
          <cell r="Q36">
            <v>4.1666666666666664E-2</v>
          </cell>
          <cell r="R36">
            <v>0</v>
          </cell>
          <cell r="S36">
            <v>0</v>
          </cell>
          <cell r="T36">
            <v>0</v>
          </cell>
          <cell r="U36">
            <v>1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AB36">
            <v>1</v>
          </cell>
          <cell r="AC36">
            <v>1</v>
          </cell>
          <cell r="AD36">
            <v>0</v>
          </cell>
          <cell r="AE36">
            <v>1</v>
          </cell>
          <cell r="AF36">
            <v>0.9</v>
          </cell>
          <cell r="AG36">
            <v>0.1</v>
          </cell>
          <cell r="AH36">
            <v>1</v>
          </cell>
        </row>
        <row r="37">
          <cell r="D37">
            <v>0.90909090909090906</v>
          </cell>
          <cell r="E37">
            <v>2.5974025974025976E-2</v>
          </cell>
          <cell r="F37">
            <v>6.4935064935064929E-2</v>
          </cell>
          <cell r="G37">
            <v>0</v>
          </cell>
          <cell r="H37">
            <v>1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P37">
            <v>0.92783505154639179</v>
          </cell>
          <cell r="Q37">
            <v>7.2164948453608241E-2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AB37">
            <v>1</v>
          </cell>
          <cell r="AC37">
            <v>1</v>
          </cell>
          <cell r="AD37">
            <v>0</v>
          </cell>
          <cell r="AE37">
            <v>1</v>
          </cell>
          <cell r="AF37">
            <v>0.91304347826086951</v>
          </cell>
          <cell r="AG37">
            <v>8.6956521739130432E-2</v>
          </cell>
          <cell r="AH37">
            <v>1</v>
          </cell>
        </row>
        <row r="38">
          <cell r="D38">
            <v>0.90909090909090906</v>
          </cell>
          <cell r="E38">
            <v>2.5974025974025976E-2</v>
          </cell>
          <cell r="F38">
            <v>6.4935064935064929E-2</v>
          </cell>
          <cell r="G38">
            <v>0</v>
          </cell>
          <cell r="H38">
            <v>1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0.92783505154639179</v>
          </cell>
          <cell r="Q38">
            <v>7.2164948453608241E-2</v>
          </cell>
          <cell r="R38">
            <v>0</v>
          </cell>
          <cell r="S38">
            <v>0</v>
          </cell>
          <cell r="T38">
            <v>0</v>
          </cell>
          <cell r="U38">
            <v>1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AB38">
            <v>1</v>
          </cell>
          <cell r="AC38">
            <v>1</v>
          </cell>
          <cell r="AD38">
            <v>0</v>
          </cell>
          <cell r="AE38">
            <v>1</v>
          </cell>
          <cell r="AF38">
            <v>0.91304347826086951</v>
          </cell>
          <cell r="AG38">
            <v>8.6956521739130432E-2</v>
          </cell>
          <cell r="AH38">
            <v>1</v>
          </cell>
        </row>
        <row r="39">
          <cell r="D39">
            <v>0.81212121212121213</v>
          </cell>
          <cell r="E39">
            <v>0.18181818181818182</v>
          </cell>
          <cell r="F39">
            <v>6.0606060606060606E-3</v>
          </cell>
          <cell r="G39">
            <v>0</v>
          </cell>
          <cell r="H39">
            <v>1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P39">
            <v>0.98275862068965514</v>
          </cell>
          <cell r="Q39">
            <v>1.7241379310344827E-2</v>
          </cell>
          <cell r="R39">
            <v>0</v>
          </cell>
          <cell r="S39">
            <v>0</v>
          </cell>
          <cell r="T39">
            <v>0</v>
          </cell>
          <cell r="U39">
            <v>1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AB39">
            <v>1</v>
          </cell>
          <cell r="AC39">
            <v>1</v>
          </cell>
          <cell r="AD39">
            <v>0</v>
          </cell>
          <cell r="AE39">
            <v>1</v>
          </cell>
          <cell r="AF39">
            <v>0.97499999999999998</v>
          </cell>
          <cell r="AG39">
            <v>2.5000000000000001E-2</v>
          </cell>
          <cell r="AH39">
            <v>1</v>
          </cell>
        </row>
        <row r="40">
          <cell r="D40">
            <v>0.78482972136222906</v>
          </cell>
          <cell r="E40">
            <v>0.21207430340557276</v>
          </cell>
          <cell r="F40">
            <v>3.0959752321981426E-3</v>
          </cell>
          <cell r="G40">
            <v>0</v>
          </cell>
          <cell r="H40">
            <v>1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P40">
            <v>0.98275862068965514</v>
          </cell>
          <cell r="Q40">
            <v>1.7241379310344827E-2</v>
          </cell>
          <cell r="R40">
            <v>0</v>
          </cell>
          <cell r="S40">
            <v>0</v>
          </cell>
          <cell r="T40">
            <v>0</v>
          </cell>
          <cell r="U40">
            <v>1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AB40">
            <v>1</v>
          </cell>
          <cell r="AC40">
            <v>1</v>
          </cell>
          <cell r="AD40">
            <v>0</v>
          </cell>
          <cell r="AE40">
            <v>1</v>
          </cell>
          <cell r="AF40">
            <v>0.98275862068965514</v>
          </cell>
          <cell r="AG40">
            <v>1.7241379310344827E-2</v>
          </cell>
          <cell r="AH40">
            <v>1</v>
          </cell>
        </row>
        <row r="41">
          <cell r="D41">
            <v>0.88791208791208787</v>
          </cell>
          <cell r="E41">
            <v>3.0769230769230771E-2</v>
          </cell>
          <cell r="F41">
            <v>8.1318681318681321E-2</v>
          </cell>
          <cell r="G41">
            <v>0</v>
          </cell>
          <cell r="H41">
            <v>1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P41">
            <v>0.89814126394052041</v>
          </cell>
          <cell r="Q41">
            <v>7.3110285006195791E-2</v>
          </cell>
          <cell r="R41">
            <v>0</v>
          </cell>
          <cell r="S41">
            <v>0</v>
          </cell>
          <cell r="T41">
            <v>2.8748451053283768E-2</v>
          </cell>
          <cell r="U41">
            <v>0.99999999999999989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AB41">
            <v>1</v>
          </cell>
          <cell r="AC41">
            <v>1</v>
          </cell>
          <cell r="AD41">
            <v>0</v>
          </cell>
          <cell r="AE41">
            <v>1</v>
          </cell>
          <cell r="AF41">
            <v>0.9642857142857143</v>
          </cell>
          <cell r="AG41">
            <v>3.5714285714285712E-2</v>
          </cell>
          <cell r="AH41">
            <v>1</v>
          </cell>
        </row>
        <row r="42">
          <cell r="D42">
            <v>0.87647058823529411</v>
          </cell>
          <cell r="E42">
            <v>8.2352941176470587E-2</v>
          </cell>
          <cell r="F42">
            <v>4.1176470588235294E-2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P42">
            <v>0.88933333333333331</v>
          </cell>
          <cell r="Q42">
            <v>0.10666666666666667</v>
          </cell>
          <cell r="R42">
            <v>0</v>
          </cell>
          <cell r="S42">
            <v>0</v>
          </cell>
          <cell r="T42">
            <v>4.0000000000000001E-3</v>
          </cell>
          <cell r="U42">
            <v>1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AB42">
            <v>1</v>
          </cell>
          <cell r="AC42">
            <v>1</v>
          </cell>
          <cell r="AD42">
            <v>0</v>
          </cell>
          <cell r="AE42">
            <v>1</v>
          </cell>
          <cell r="AF42">
            <v>0.89655172413793105</v>
          </cell>
          <cell r="AG42">
            <v>0.10344827586206896</v>
          </cell>
          <cell r="AH42">
            <v>1</v>
          </cell>
        </row>
        <row r="43">
          <cell r="D43">
            <v>0.89473684210526316</v>
          </cell>
          <cell r="E43">
            <v>0</v>
          </cell>
          <cell r="F43">
            <v>0.10526315789473684</v>
          </cell>
          <cell r="G43">
            <v>0</v>
          </cell>
          <cell r="H43">
            <v>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P43">
            <v>0.9001522070015221</v>
          </cell>
          <cell r="Q43">
            <v>6.5449010654490103E-2</v>
          </cell>
          <cell r="R43">
            <v>0</v>
          </cell>
          <cell r="S43">
            <v>0</v>
          </cell>
          <cell r="T43">
            <v>3.439878234398782E-2</v>
          </cell>
          <cell r="U43">
            <v>1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AB43">
            <v>1</v>
          </cell>
          <cell r="AC43">
            <v>1</v>
          </cell>
          <cell r="AD43">
            <v>0</v>
          </cell>
          <cell r="AE43">
            <v>1</v>
          </cell>
          <cell r="AF43">
            <v>0.97435897435897434</v>
          </cell>
          <cell r="AG43">
            <v>2.564102564102564E-2</v>
          </cell>
          <cell r="AH43">
            <v>1</v>
          </cell>
        </row>
        <row r="44">
          <cell r="D44">
            <v>0.89473684210526316</v>
          </cell>
          <cell r="E44">
            <v>0</v>
          </cell>
          <cell r="F44">
            <v>0.10526315789473684</v>
          </cell>
          <cell r="G44">
            <v>0</v>
          </cell>
          <cell r="H44">
            <v>1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P44">
            <v>0.9001522070015221</v>
          </cell>
          <cell r="Q44">
            <v>6.5449010654490103E-2</v>
          </cell>
          <cell r="R44">
            <v>0</v>
          </cell>
          <cell r="S44">
            <v>0</v>
          </cell>
          <cell r="T44">
            <v>3.439878234398782E-2</v>
          </cell>
          <cell r="U44">
            <v>1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AB44">
            <v>1</v>
          </cell>
          <cell r="AC44">
            <v>1</v>
          </cell>
          <cell r="AD44">
            <v>0</v>
          </cell>
          <cell r="AE44">
            <v>1</v>
          </cell>
          <cell r="AF44">
            <v>0.97435897435897434</v>
          </cell>
          <cell r="AG44">
            <v>2.564102564102564E-2</v>
          </cell>
          <cell r="AH44">
            <v>1</v>
          </cell>
        </row>
        <row r="45">
          <cell r="D45">
            <v>0.85283649849393706</v>
          </cell>
          <cell r="E45">
            <v>-3.0034197237446504E-3</v>
          </cell>
          <cell r="F45">
            <v>0.15016692122980743</v>
          </cell>
          <cell r="G45">
            <v>0</v>
          </cell>
          <cell r="H45">
            <v>0.99999999999999989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P45">
            <v>0.71535375807975599</v>
          </cell>
          <cell r="Q45">
            <v>0.19887288381618631</v>
          </cell>
          <cell r="R45">
            <v>0</v>
          </cell>
          <cell r="S45">
            <v>0</v>
          </cell>
          <cell r="T45">
            <v>8.5773358104057673E-2</v>
          </cell>
          <cell r="U45">
            <v>1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AB45">
            <v>1</v>
          </cell>
          <cell r="AC45">
            <v>1</v>
          </cell>
          <cell r="AD45">
            <v>0</v>
          </cell>
          <cell r="AE45">
            <v>1</v>
          </cell>
          <cell r="AF45">
            <v>0.73420231028471161</v>
          </cell>
          <cell r="AG45">
            <v>0.26579768971528894</v>
          </cell>
          <cell r="AH45">
            <v>1.0000000000000004</v>
          </cell>
        </row>
        <row r="46">
          <cell r="D46">
            <v>0.78443340476108303</v>
          </cell>
          <cell r="E46">
            <v>0.21238854355802453</v>
          </cell>
          <cell r="F46">
            <v>3.1780516808922578E-3</v>
          </cell>
          <cell r="G46">
            <v>0</v>
          </cell>
          <cell r="H46">
            <v>0.99999999999999978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P46">
            <v>0.98264873546278619</v>
          </cell>
          <cell r="Q46">
            <v>1.7351264537213761E-2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AB46">
            <v>1</v>
          </cell>
          <cell r="AC46">
            <v>1</v>
          </cell>
          <cell r="AD46">
            <v>0</v>
          </cell>
          <cell r="AE46">
            <v>1</v>
          </cell>
          <cell r="AF46">
            <v>0.98319889470824451</v>
          </cell>
          <cell r="AG46">
            <v>1.6801105291755412E-2</v>
          </cell>
          <cell r="AH46">
            <v>0.99999999999999989</v>
          </cell>
        </row>
        <row r="47">
          <cell r="D47">
            <v>0.78482972136222906</v>
          </cell>
          <cell r="E47">
            <v>0.21207430340557276</v>
          </cell>
          <cell r="F47">
            <v>3.0959752321981426E-3</v>
          </cell>
          <cell r="G47">
            <v>0</v>
          </cell>
          <cell r="H47">
            <v>1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P47">
            <v>0.98275862068965514</v>
          </cell>
          <cell r="Q47">
            <v>1.7241379310344827E-2</v>
          </cell>
          <cell r="R47">
            <v>0</v>
          </cell>
          <cell r="S47">
            <v>0</v>
          </cell>
          <cell r="T47">
            <v>0</v>
          </cell>
          <cell r="U47">
            <v>1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AB47">
            <v>1</v>
          </cell>
          <cell r="AC47">
            <v>1</v>
          </cell>
          <cell r="AD47">
            <v>0</v>
          </cell>
          <cell r="AE47">
            <v>1</v>
          </cell>
          <cell r="AF47">
            <v>0.98275862068965514</v>
          </cell>
          <cell r="AG47">
            <v>1.7241379310344827E-2</v>
          </cell>
          <cell r="AH47">
            <v>1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D67">
            <v>0.36540540540540539</v>
          </cell>
          <cell r="E67">
            <v>1.0810810810810811E-2</v>
          </cell>
          <cell r="F67">
            <v>2.1621621621621622E-3</v>
          </cell>
          <cell r="G67">
            <v>0</v>
          </cell>
          <cell r="H67">
            <v>0.37837837837837834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P67">
            <v>6.2162162162162166E-2</v>
          </cell>
          <cell r="Q67">
            <v>2.7027027027027029E-3</v>
          </cell>
          <cell r="R67">
            <v>0</v>
          </cell>
          <cell r="S67">
            <v>0</v>
          </cell>
          <cell r="T67">
            <v>0</v>
          </cell>
          <cell r="U67">
            <v>6.4864864864864868E-2</v>
          </cell>
          <cell r="V67">
            <v>0</v>
          </cell>
          <cell r="W67">
            <v>6.4864864864864868E-2</v>
          </cell>
          <cell r="X67">
            <v>0</v>
          </cell>
          <cell r="Y67">
            <v>0</v>
          </cell>
          <cell r="AB67">
            <v>0.11891891891891893</v>
          </cell>
          <cell r="AC67">
            <v>0.43243243243243246</v>
          </cell>
          <cell r="AD67">
            <v>0</v>
          </cell>
          <cell r="AE67">
            <v>0.43243243243243246</v>
          </cell>
          <cell r="AF67">
            <v>4.8648648648648646E-3</v>
          </cell>
          <cell r="AG67">
            <v>5.4054054054054055E-4</v>
          </cell>
          <cell r="AH67">
            <v>5.4054054054054048E-3</v>
          </cell>
        </row>
        <row r="68">
          <cell r="D68">
            <v>0.20648967551622419</v>
          </cell>
          <cell r="E68">
            <v>5.8997050147492625E-3</v>
          </cell>
          <cell r="F68">
            <v>1.4749262536873156E-2</v>
          </cell>
          <cell r="G68">
            <v>0</v>
          </cell>
          <cell r="H68">
            <v>0.22713864306784659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0.26548672566371684</v>
          </cell>
          <cell r="Q68">
            <v>2.0648967551622419E-2</v>
          </cell>
          <cell r="R68">
            <v>0</v>
          </cell>
          <cell r="S68">
            <v>0</v>
          </cell>
          <cell r="T68">
            <v>0</v>
          </cell>
          <cell r="U68">
            <v>0.28613569321533927</v>
          </cell>
          <cell r="V68">
            <v>0</v>
          </cell>
          <cell r="W68">
            <v>0.28613569321533927</v>
          </cell>
          <cell r="X68">
            <v>0</v>
          </cell>
          <cell r="Y68">
            <v>0</v>
          </cell>
          <cell r="AB68">
            <v>0.12979351032448377</v>
          </cell>
          <cell r="AC68">
            <v>0.28908554572271389</v>
          </cell>
          <cell r="AD68">
            <v>0</v>
          </cell>
          <cell r="AE68">
            <v>0.28908554572271389</v>
          </cell>
          <cell r="AF68">
            <v>6.1946902654867256E-2</v>
          </cell>
          <cell r="AG68">
            <v>5.8997050147492625E-3</v>
          </cell>
          <cell r="AH68">
            <v>6.7846607669616518E-2</v>
          </cell>
        </row>
        <row r="69">
          <cell r="D69">
            <v>0.20648967551622419</v>
          </cell>
          <cell r="E69">
            <v>5.8997050147492625E-3</v>
          </cell>
          <cell r="F69">
            <v>1.4749262536873156E-2</v>
          </cell>
          <cell r="G69">
            <v>0</v>
          </cell>
          <cell r="H69">
            <v>0.22713864306784659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P69">
            <v>0.26548672566371684</v>
          </cell>
          <cell r="Q69">
            <v>2.0648967551622419E-2</v>
          </cell>
          <cell r="R69">
            <v>0</v>
          </cell>
          <cell r="S69">
            <v>0</v>
          </cell>
          <cell r="T69">
            <v>0</v>
          </cell>
          <cell r="U69">
            <v>0.28613569321533927</v>
          </cell>
          <cell r="V69">
            <v>0</v>
          </cell>
          <cell r="W69">
            <v>0.28613569321533927</v>
          </cell>
          <cell r="X69">
            <v>0</v>
          </cell>
          <cell r="Y69">
            <v>0</v>
          </cell>
          <cell r="AB69">
            <v>0.12979351032448377</v>
          </cell>
          <cell r="AC69">
            <v>0.28908554572271389</v>
          </cell>
          <cell r="AD69">
            <v>0</v>
          </cell>
          <cell r="AE69">
            <v>0.28908554572271389</v>
          </cell>
          <cell r="AF69">
            <v>6.1946902654867256E-2</v>
          </cell>
          <cell r="AG69">
            <v>5.8997050147492625E-3</v>
          </cell>
          <cell r="AH69">
            <v>6.7846607669616518E-2</v>
          </cell>
        </row>
        <row r="70">
          <cell r="D70">
            <v>0.31904761904761908</v>
          </cell>
          <cell r="E70">
            <v>7.1428571428571425E-2</v>
          </cell>
          <cell r="F70">
            <v>2.3809523809523812E-3</v>
          </cell>
          <cell r="G70">
            <v>0</v>
          </cell>
          <cell r="H70">
            <v>0.3928571428571429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P70">
            <v>0.16964285714285715</v>
          </cell>
          <cell r="Q70">
            <v>2.976190476190476E-3</v>
          </cell>
          <cell r="R70">
            <v>0</v>
          </cell>
          <cell r="S70">
            <v>0</v>
          </cell>
          <cell r="T70">
            <v>0</v>
          </cell>
          <cell r="U70">
            <v>0.17261904761904762</v>
          </cell>
          <cell r="V70">
            <v>0</v>
          </cell>
          <cell r="W70">
            <v>0.17261904761904762</v>
          </cell>
          <cell r="X70">
            <v>0</v>
          </cell>
          <cell r="Y70">
            <v>0</v>
          </cell>
          <cell r="AB70">
            <v>0.25</v>
          </cell>
          <cell r="AC70">
            <v>0.16071428571428573</v>
          </cell>
          <cell r="AD70">
            <v>0</v>
          </cell>
          <cell r="AE70">
            <v>0.16071428571428573</v>
          </cell>
          <cell r="AF70">
            <v>2.3214285714285715E-2</v>
          </cell>
          <cell r="AG70">
            <v>5.9523809523809529E-4</v>
          </cell>
          <cell r="AH70">
            <v>2.3809523809523812E-2</v>
          </cell>
        </row>
        <row r="71">
          <cell r="D71">
            <v>0.42966101694915254</v>
          </cell>
          <cell r="E71">
            <v>0.11610169491525424</v>
          </cell>
          <cell r="F71">
            <v>1.6949152542372881E-3</v>
          </cell>
          <cell r="G71">
            <v>0</v>
          </cell>
          <cell r="H71">
            <v>0.5474576271186441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P71">
            <v>0.12076271186440678</v>
          </cell>
          <cell r="Q71">
            <v>2.1186440677966102E-3</v>
          </cell>
          <cell r="R71">
            <v>0</v>
          </cell>
          <cell r="S71">
            <v>0</v>
          </cell>
          <cell r="T71">
            <v>0</v>
          </cell>
          <cell r="U71">
            <v>0.12288135593220338</v>
          </cell>
          <cell r="V71">
            <v>0</v>
          </cell>
          <cell r="W71">
            <v>0.12288135593220338</v>
          </cell>
          <cell r="X71">
            <v>0</v>
          </cell>
          <cell r="Y71">
            <v>0</v>
          </cell>
          <cell r="AB71">
            <v>0.16355932203389831</v>
          </cell>
          <cell r="AC71">
            <v>0.14152542372881355</v>
          </cell>
          <cell r="AD71">
            <v>0</v>
          </cell>
          <cell r="AE71">
            <v>0.14152542372881355</v>
          </cell>
          <cell r="AF71">
            <v>2.4152542372881357E-2</v>
          </cell>
          <cell r="AG71">
            <v>4.2372881355932202E-4</v>
          </cell>
          <cell r="AH71">
            <v>2.4576271186440679E-2</v>
          </cell>
        </row>
        <row r="72">
          <cell r="D72">
            <v>0.12899106002554278</v>
          </cell>
          <cell r="E72">
            <v>4.4699872286079181E-3</v>
          </cell>
          <cell r="F72">
            <v>1.1813537675606641E-2</v>
          </cell>
          <cell r="G72">
            <v>0</v>
          </cell>
          <cell r="H72">
            <v>0.14527458492975734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P72">
            <v>0.23141762452107278</v>
          </cell>
          <cell r="Q72">
            <v>1.8837803320561942E-2</v>
          </cell>
          <cell r="R72">
            <v>0</v>
          </cell>
          <cell r="S72">
            <v>0</v>
          </cell>
          <cell r="T72">
            <v>7.4074074074074077E-3</v>
          </cell>
          <cell r="U72">
            <v>0.25766283524904215</v>
          </cell>
          <cell r="V72">
            <v>0</v>
          </cell>
          <cell r="W72">
            <v>0.25766283524904215</v>
          </cell>
          <cell r="X72">
            <v>0</v>
          </cell>
          <cell r="Y72">
            <v>0</v>
          </cell>
          <cell r="AB72">
            <v>0.1417624521072797</v>
          </cell>
          <cell r="AC72">
            <v>0.38378033205619411</v>
          </cell>
          <cell r="AD72">
            <v>0</v>
          </cell>
          <cell r="AE72">
            <v>0.38378033205619411</v>
          </cell>
          <cell r="AF72">
            <v>6.8965517241379309E-2</v>
          </cell>
          <cell r="AG72">
            <v>2.554278416347382E-3</v>
          </cell>
          <cell r="AH72">
            <v>7.151979565772669E-2</v>
          </cell>
        </row>
        <row r="73">
          <cell r="D73">
            <v>0.19350649350649352</v>
          </cell>
          <cell r="E73">
            <v>1.8181818181818181E-2</v>
          </cell>
          <cell r="F73">
            <v>9.0909090909090905E-3</v>
          </cell>
          <cell r="G73">
            <v>0</v>
          </cell>
          <cell r="H73">
            <v>0.2207792207792208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P73">
            <v>0.17324675324675326</v>
          </cell>
          <cell r="Q73">
            <v>2.0779220779220779E-2</v>
          </cell>
          <cell r="R73">
            <v>0</v>
          </cell>
          <cell r="S73">
            <v>0</v>
          </cell>
          <cell r="T73">
            <v>7.7922077922077922E-4</v>
          </cell>
          <cell r="U73">
            <v>0.19480519480519481</v>
          </cell>
          <cell r="V73">
            <v>0</v>
          </cell>
          <cell r="W73">
            <v>0.19480519480519481</v>
          </cell>
          <cell r="X73">
            <v>0</v>
          </cell>
          <cell r="Y73">
            <v>0</v>
          </cell>
          <cell r="AB73">
            <v>0.2896103896103896</v>
          </cell>
          <cell r="AC73">
            <v>0.25714285714285712</v>
          </cell>
          <cell r="AD73">
            <v>0</v>
          </cell>
          <cell r="AE73">
            <v>0.25714285714285712</v>
          </cell>
          <cell r="AF73">
            <v>3.3766233766233764E-2</v>
          </cell>
          <cell r="AG73">
            <v>3.8961038961038961E-3</v>
          </cell>
          <cell r="AH73">
            <v>3.7662337662337661E-2</v>
          </cell>
        </row>
        <row r="74">
          <cell r="D74">
            <v>0.10795935647756139</v>
          </cell>
          <cell r="E74">
            <v>0</v>
          </cell>
          <cell r="F74">
            <v>1.2701100762066046E-2</v>
          </cell>
          <cell r="G74">
            <v>0</v>
          </cell>
          <cell r="H74">
            <v>0.12066045723962743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P74">
            <v>0.25038103302286197</v>
          </cell>
          <cell r="Q74">
            <v>1.8204911092294666E-2</v>
          </cell>
          <cell r="R74">
            <v>0</v>
          </cell>
          <cell r="S74">
            <v>0</v>
          </cell>
          <cell r="T74">
            <v>9.5681625740897547E-3</v>
          </cell>
          <cell r="U74">
            <v>0.27815410668924639</v>
          </cell>
          <cell r="V74">
            <v>0</v>
          </cell>
          <cell r="W74">
            <v>0.27815410668924639</v>
          </cell>
          <cell r="X74">
            <v>0</v>
          </cell>
          <cell r="Y74">
            <v>0</v>
          </cell>
          <cell r="AB74">
            <v>9.3564775613886542E-2</v>
          </cell>
          <cell r="AC74">
            <v>0.42506350550381033</v>
          </cell>
          <cell r="AD74">
            <v>0</v>
          </cell>
          <cell r="AE74">
            <v>0.42506350550381033</v>
          </cell>
          <cell r="AF74">
            <v>8.0440304826418285E-2</v>
          </cell>
          <cell r="AG74">
            <v>2.1168501270110076E-3</v>
          </cell>
          <cell r="AH74">
            <v>8.2557154953429288E-2</v>
          </cell>
        </row>
        <row r="75">
          <cell r="D75">
            <v>0.10795935647756139</v>
          </cell>
          <cell r="E75">
            <v>0</v>
          </cell>
          <cell r="F75">
            <v>1.2701100762066046E-2</v>
          </cell>
          <cell r="G75">
            <v>0</v>
          </cell>
          <cell r="H75">
            <v>0.12066045723962743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P75">
            <v>0.25038103302286197</v>
          </cell>
          <cell r="Q75">
            <v>1.8204911092294666E-2</v>
          </cell>
          <cell r="R75">
            <v>0</v>
          </cell>
          <cell r="S75">
            <v>0</v>
          </cell>
          <cell r="T75">
            <v>9.5681625740897547E-3</v>
          </cell>
          <cell r="U75">
            <v>0.27815410668924639</v>
          </cell>
          <cell r="V75">
            <v>0</v>
          </cell>
          <cell r="W75">
            <v>0.27815410668924639</v>
          </cell>
          <cell r="X75">
            <v>0</v>
          </cell>
          <cell r="Y75">
            <v>0</v>
          </cell>
          <cell r="AB75">
            <v>9.3564775613886542E-2</v>
          </cell>
          <cell r="AC75">
            <v>0.42506350550381033</v>
          </cell>
          <cell r="AD75">
            <v>0</v>
          </cell>
          <cell r="AE75">
            <v>0.42506350550381033</v>
          </cell>
          <cell r="AF75">
            <v>8.0440304826418285E-2</v>
          </cell>
          <cell r="AG75">
            <v>2.1168501270110076E-3</v>
          </cell>
          <cell r="AH75">
            <v>8.2557154953429288E-2</v>
          </cell>
        </row>
        <row r="76">
          <cell r="D76">
            <v>0.23822611303675795</v>
          </cell>
          <cell r="E76">
            <v>-8.3895683154877078E-4</v>
          </cell>
          <cell r="F76">
            <v>4.1946706097180896E-2</v>
          </cell>
          <cell r="G76">
            <v>0</v>
          </cell>
          <cell r="H76">
            <v>0.27933386230239005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P76">
            <v>0.4519819699039922</v>
          </cell>
          <cell r="Q76">
            <v>0.12565385555394817</v>
          </cell>
          <cell r="R76">
            <v>0</v>
          </cell>
          <cell r="S76">
            <v>0</v>
          </cell>
          <cell r="T76">
            <v>5.4194181442785171E-2</v>
          </cell>
          <cell r="U76">
            <v>0.63183000690072555</v>
          </cell>
          <cell r="V76">
            <v>0</v>
          </cell>
          <cell r="W76">
            <v>0.63183000690072555</v>
          </cell>
          <cell r="X76">
            <v>0</v>
          </cell>
          <cell r="Y76">
            <v>0</v>
          </cell>
          <cell r="AB76">
            <v>9.0359098359809556E-2</v>
          </cell>
          <cell r="AC76">
            <v>-8.7809439087867702E-2</v>
          </cell>
          <cell r="AD76">
            <v>0</v>
          </cell>
          <cell r="AE76">
            <v>-8.7809439087867702E-2</v>
          </cell>
          <cell r="AF76">
            <v>6.3351726739928782E-2</v>
          </cell>
          <cell r="AG76">
            <v>2.2934744785013787E-2</v>
          </cell>
          <cell r="AH76">
            <v>8.6286471524942565E-2</v>
          </cell>
        </row>
        <row r="77">
          <cell r="D77">
            <v>0.44660850363491694</v>
          </cell>
          <cell r="E77">
            <v>0.12092107379916948</v>
          </cell>
          <cell r="F77">
            <v>1.80938865818701E-3</v>
          </cell>
          <cell r="G77">
            <v>0</v>
          </cell>
          <cell r="H77">
            <v>0.56933896609227341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P77">
            <v>0.11998525234325583</v>
          </cell>
          <cell r="Q77">
            <v>2.1186572361401286E-3</v>
          </cell>
          <cell r="R77">
            <v>0</v>
          </cell>
          <cell r="S77">
            <v>0</v>
          </cell>
          <cell r="T77">
            <v>0</v>
          </cell>
          <cell r="U77">
            <v>0.12210390957939596</v>
          </cell>
          <cell r="V77">
            <v>0</v>
          </cell>
          <cell r="W77">
            <v>0.12210390957939596</v>
          </cell>
          <cell r="X77">
            <v>0</v>
          </cell>
          <cell r="Y77">
            <v>0</v>
          </cell>
          <cell r="AB77">
            <v>0.16079688715953308</v>
          </cell>
          <cell r="AC77">
            <v>0.12207404113396332</v>
          </cell>
          <cell r="AD77">
            <v>0</v>
          </cell>
          <cell r="AE77">
            <v>0.12207404113396332</v>
          </cell>
          <cell r="AF77">
            <v>2.5254639550708249E-2</v>
          </cell>
          <cell r="AG77">
            <v>4.3155648412591924E-4</v>
          </cell>
          <cell r="AH77">
            <v>2.5686196034834168E-2</v>
          </cell>
        </row>
        <row r="78">
          <cell r="D78">
            <v>0.1610649013425404</v>
          </cell>
          <cell r="E78">
            <v>4.3522468410114472E-2</v>
          </cell>
          <cell r="F78">
            <v>6.3536450233743751E-4</v>
          </cell>
          <cell r="G78">
            <v>0</v>
          </cell>
          <cell r="H78">
            <v>0.20522273425499232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P78">
            <v>0.23489591609725091</v>
          </cell>
          <cell r="Q78">
            <v>4.1209809841622966E-3</v>
          </cell>
          <cell r="R78">
            <v>0</v>
          </cell>
          <cell r="S78">
            <v>0</v>
          </cell>
          <cell r="T78">
            <v>0</v>
          </cell>
          <cell r="U78">
            <v>0.23901689708141322</v>
          </cell>
          <cell r="V78">
            <v>0</v>
          </cell>
          <cell r="W78">
            <v>0.23901689708141322</v>
          </cell>
          <cell r="X78">
            <v>0</v>
          </cell>
          <cell r="Y78">
            <v>0</v>
          </cell>
          <cell r="AB78">
            <v>0.13056835637480799</v>
          </cell>
          <cell r="AC78">
            <v>0.34608294930875577</v>
          </cell>
          <cell r="AD78">
            <v>0</v>
          </cell>
          <cell r="AE78">
            <v>0.34608294930875577</v>
          </cell>
          <cell r="AF78">
            <v>7.774511361830605E-2</v>
          </cell>
          <cell r="AG78">
            <v>1.3639493617246675E-3</v>
          </cell>
          <cell r="AH78">
            <v>7.9109062980030717E-2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.REP.BAL JULY"/>
      <sheetName val="CH.REP PL JULY"/>
      <sheetName val="CH.REPART.PL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a"/>
      <sheetName val="Menu"/>
      <sheetName val="Pressupostos"/>
      <sheetName val="WACC"/>
      <sheetName val="Volumes vendidos"/>
      <sheetName val="Gastos APS - Empresa"/>
      <sheetName val="Gastos APS - ARME"/>
      <sheetName val="Gastos OIEGG - Empresa"/>
      <sheetName val="Gastos OIEGG - ARME"/>
      <sheetName val="Gastos TTP - Empresa"/>
      <sheetName val="Gastos TM - Empresa"/>
      <sheetName val="Gastos TM - ARME"/>
      <sheetName val="Gastos TTP - ARME"/>
      <sheetName val="Gastos ADML - Empresa"/>
      <sheetName val="Gastos ADML - ARME"/>
      <sheetName val="Gastos TTS - Empresa"/>
      <sheetName val="Gastos TTS - ARME"/>
      <sheetName val="Gastos EPA - Empresa"/>
      <sheetName val="Gastos EPA - ARME"/>
      <sheetName val="Gastos C&amp;M - Empresa"/>
      <sheetName val="Gastos C&amp;M - ARME"/>
      <sheetName val="Gastos ADMD - Empresa"/>
      <sheetName val="Gastos ADMD - ARME"/>
      <sheetName val="Depreciações - APS"/>
      <sheetName val="Depreciações - OIEGG"/>
      <sheetName val="Depreciações - TM"/>
      <sheetName val="Depreciações - TTP"/>
      <sheetName val="Depreciações - ADML"/>
      <sheetName val="Depreciações - TTS"/>
      <sheetName val="Depreciações - EPA"/>
      <sheetName val="Depreciações - CM"/>
      <sheetName val="Depreciações - ADMD"/>
      <sheetName val="Ativos fixos líquidos - APS"/>
      <sheetName val="Ativos fixos líquidos - OIEGG"/>
      <sheetName val="Ativos fixos líquidos - TM"/>
      <sheetName val="Ativos fixos líquidos - TTP"/>
      <sheetName val="Ativos fixos líquidos - ADML"/>
      <sheetName val="Ativos fixos líquidos - TTS"/>
      <sheetName val="Ativos fixos líquidos - EPA"/>
      <sheetName val="Ativos fixos líquidos - CM"/>
      <sheetName val="Ativos fixos líquidos - ADMD"/>
      <sheetName val="Tarifas - APS - BR"/>
      <sheetName val="Tarifas - APS - VAL"/>
      <sheetName val="Tarifas - OIEGG - BR"/>
      <sheetName val="Tarifas - OIEGG - VAL"/>
      <sheetName val="Tarifas - TTP - BR"/>
      <sheetName val="Tarifas - TTP - VAL"/>
      <sheetName val="Tarifas - ADML - BR"/>
      <sheetName val="Tarifas - ADML - VAL"/>
      <sheetName val="Tarifas - TTS - BR"/>
      <sheetName val="Tarifas - TTS - VAL"/>
      <sheetName val="Tarifas - EPA - BR"/>
      <sheetName val="Tarifas - EPA - VAL"/>
      <sheetName val="Tarifas - C&amp;M - BR"/>
      <sheetName val="Tarifas - C&amp;M - VAL"/>
      <sheetName val="Tarifas - ADMD - BR"/>
      <sheetName val="Tarifas - ADMD - VAL"/>
      <sheetName val="Tarifas - resumo"/>
      <sheetName val="Cálculos"/>
      <sheetName val="Lista"/>
    </sheetNames>
    <sheetDataSet>
      <sheetData sheetId="0"/>
      <sheetData sheetId="1"/>
      <sheetData sheetId="2">
        <row r="8">
          <cell r="B8">
            <v>2021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B6A6B-0305-493D-95E3-680778E98DC4}">
  <sheetPr>
    <tabColor rgb="FF92D050"/>
  </sheetPr>
  <dimension ref="A1:J68"/>
  <sheetViews>
    <sheetView showGridLines="0" topLeftCell="A58" zoomScale="120" zoomScaleNormal="120" workbookViewId="0">
      <selection activeCell="A26" sqref="A26:E35"/>
    </sheetView>
  </sheetViews>
  <sheetFormatPr defaultColWidth="8.73046875" defaultRowHeight="15" x14ac:dyDescent="0.35"/>
  <cols>
    <col min="1" max="1" width="20.33203125" style="133" bestFit="1" customWidth="1"/>
    <col min="2" max="3" width="13.73046875" style="133" customWidth="1"/>
    <col min="4" max="4" width="16.73046875" style="133" customWidth="1"/>
    <col min="5" max="5" width="13.73046875" style="133" customWidth="1"/>
    <col min="6" max="6" width="16.73046875" style="133" customWidth="1"/>
    <col min="7" max="7" width="16.73046875" style="133" hidden="1" customWidth="1"/>
    <col min="8" max="8" width="16.73046875" style="133" customWidth="1"/>
    <col min="9" max="9" width="8.73046875" style="133"/>
    <col min="10" max="10" width="14.59765625" style="133" bestFit="1" customWidth="1"/>
    <col min="11" max="16384" width="8.73046875" style="133"/>
  </cols>
  <sheetData>
    <row r="1" spans="1:8" ht="24" customHeight="1" x14ac:dyDescent="0.35">
      <c r="A1" s="187" t="s">
        <v>157</v>
      </c>
      <c r="B1" s="187"/>
      <c r="C1" s="187"/>
      <c r="D1" s="187"/>
      <c r="E1" s="187"/>
      <c r="F1" s="187"/>
      <c r="G1" s="187"/>
      <c r="H1" s="187"/>
    </row>
    <row r="2" spans="1:8" ht="18" customHeight="1" x14ac:dyDescent="0.35">
      <c r="A2" s="188" t="s">
        <v>158</v>
      </c>
      <c r="B2" s="188"/>
      <c r="C2" s="188"/>
      <c r="D2" s="188"/>
      <c r="E2" s="188"/>
      <c r="F2" s="134"/>
      <c r="G2" s="134"/>
      <c r="H2" s="135"/>
    </row>
    <row r="3" spans="1:8" ht="38.25" x14ac:dyDescent="0.35">
      <c r="A3" s="153" t="s">
        <v>175</v>
      </c>
      <c r="B3" s="154" t="s">
        <v>160</v>
      </c>
      <c r="C3" s="155" t="s">
        <v>161</v>
      </c>
      <c r="D3" s="156" t="s">
        <v>176</v>
      </c>
      <c r="E3" s="156" t="s">
        <v>162</v>
      </c>
      <c r="F3" s="156" t="s">
        <v>163</v>
      </c>
      <c r="G3" s="156"/>
      <c r="H3" s="156" t="s">
        <v>164</v>
      </c>
    </row>
    <row r="4" spans="1:8" ht="18" customHeight="1" x14ac:dyDescent="0.35">
      <c r="A4" s="140" t="s">
        <v>135</v>
      </c>
      <c r="B4" s="141">
        <v>29.71</v>
      </c>
      <c r="C4" s="142">
        <v>32.360078367294832</v>
      </c>
      <c r="D4" s="143" t="str">
        <f>IF(C4/$B4-1&gt;0,"-",IF(C4/$B4-1&lt;-0.5,0.8,IF(C4/$B4-1&gt;-0.1,1,0.9)))</f>
        <v>-</v>
      </c>
      <c r="E4" s="144">
        <f>IF(C4/$B4-1&lt;0,B4*(1+(C4/$B4-1)*D4),C4)</f>
        <v>32.360078367294832</v>
      </c>
      <c r="F4" s="144">
        <f t="shared" ref="F4:F11" si="0">E4-B4</f>
        <v>2.6500783672948316</v>
      </c>
      <c r="G4" s="144">
        <f t="shared" ref="G4:G11" si="1">C4-B4</f>
        <v>2.6500783672948316</v>
      </c>
      <c r="H4" s="143">
        <f t="shared" ref="H4:H11" si="2">E4/$B4-1</f>
        <v>8.9198194792825092E-2</v>
      </c>
    </row>
    <row r="5" spans="1:8" ht="18" customHeight="1" x14ac:dyDescent="0.35">
      <c r="A5" s="140" t="s">
        <v>136</v>
      </c>
      <c r="B5" s="141">
        <v>10.87</v>
      </c>
      <c r="C5" s="142">
        <v>3.7365646434444688</v>
      </c>
      <c r="D5" s="143">
        <f t="shared" ref="D5:D11" si="3">IF(C5/$B5-1&gt;0,"-",IF(C5/$B5-1&lt;-0.5,0.8,IF(C5/$B5-1&gt;-0.1,1,0.9)))</f>
        <v>0.8</v>
      </c>
      <c r="E5" s="144">
        <f>IF(C5/$B5-1&lt;0,B5*(1+(C5/$B5-1)*D5),C5)</f>
        <v>5.1632517147555745</v>
      </c>
      <c r="F5" s="144">
        <f t="shared" si="0"/>
        <v>-5.7067482852444247</v>
      </c>
      <c r="G5" s="144">
        <f t="shared" si="1"/>
        <v>-7.1334353565555304</v>
      </c>
      <c r="H5" s="143">
        <f t="shared" si="2"/>
        <v>-0.52499984224879714</v>
      </c>
    </row>
    <row r="6" spans="1:8" ht="18" customHeight="1" x14ac:dyDescent="0.35">
      <c r="A6" s="140" t="s">
        <v>137</v>
      </c>
      <c r="B6" s="141">
        <v>4.41</v>
      </c>
      <c r="C6" s="142">
        <v>20.748174133014071</v>
      </c>
      <c r="D6" s="143" t="str">
        <f t="shared" si="3"/>
        <v>-</v>
      </c>
      <c r="E6" s="144">
        <f t="shared" ref="E6:E11" si="4">IF(C6/$B6-1&lt;0,B6*(1+(C6/$B6-1)*D6),C6)</f>
        <v>20.748174133014071</v>
      </c>
      <c r="F6" s="144">
        <f t="shared" si="0"/>
        <v>16.338174133014071</v>
      </c>
      <c r="G6" s="144">
        <f t="shared" si="1"/>
        <v>16.338174133014071</v>
      </c>
      <c r="H6" s="143">
        <f t="shared" si="2"/>
        <v>3.7048013907061383</v>
      </c>
    </row>
    <row r="7" spans="1:8" ht="18" customHeight="1" x14ac:dyDescent="0.35">
      <c r="A7" s="140" t="s">
        <v>138</v>
      </c>
      <c r="B7" s="141">
        <v>4.72</v>
      </c>
      <c r="C7" s="142">
        <v>4.1582307039403972</v>
      </c>
      <c r="D7" s="143">
        <f t="shared" si="3"/>
        <v>0.9</v>
      </c>
      <c r="E7" s="144">
        <f t="shared" si="4"/>
        <v>4.2144076335463581</v>
      </c>
      <c r="F7" s="144">
        <f t="shared" si="0"/>
        <v>-0.5055923664536417</v>
      </c>
      <c r="G7" s="144">
        <f t="shared" si="1"/>
        <v>-0.56176929605960257</v>
      </c>
      <c r="H7" s="143">
        <f t="shared" si="2"/>
        <v>-0.10711702679102575</v>
      </c>
    </row>
    <row r="8" spans="1:8" ht="18" customHeight="1" x14ac:dyDescent="0.35">
      <c r="A8" s="140" t="s">
        <v>139</v>
      </c>
      <c r="B8" s="141">
        <v>6.29</v>
      </c>
      <c r="C8" s="142">
        <v>5.1623914281489842</v>
      </c>
      <c r="D8" s="143">
        <f t="shared" si="3"/>
        <v>0.9</v>
      </c>
      <c r="E8" s="144">
        <f t="shared" si="4"/>
        <v>5.2751522853340855</v>
      </c>
      <c r="F8" s="144">
        <f t="shared" si="0"/>
        <v>-1.0148477146659145</v>
      </c>
      <c r="G8" s="144">
        <f t="shared" si="1"/>
        <v>-1.1276085718510158</v>
      </c>
      <c r="H8" s="143">
        <f t="shared" si="2"/>
        <v>-0.16134303889760171</v>
      </c>
    </row>
    <row r="9" spans="1:8" ht="18" customHeight="1" x14ac:dyDescent="0.35">
      <c r="A9" s="140" t="s">
        <v>140</v>
      </c>
      <c r="B9" s="141">
        <v>4.4800000000000004</v>
      </c>
      <c r="C9" s="142">
        <v>8.2255686159977692</v>
      </c>
      <c r="D9" s="143" t="str">
        <f t="shared" si="3"/>
        <v>-</v>
      </c>
      <c r="E9" s="144">
        <f t="shared" si="4"/>
        <v>8.2255686159977692</v>
      </c>
      <c r="F9" s="144">
        <f t="shared" si="0"/>
        <v>3.7455686159977688</v>
      </c>
      <c r="G9" s="144">
        <f t="shared" si="1"/>
        <v>3.7455686159977688</v>
      </c>
      <c r="H9" s="143">
        <f t="shared" si="2"/>
        <v>0.83606442321378749</v>
      </c>
    </row>
    <row r="10" spans="1:8" ht="18" customHeight="1" x14ac:dyDescent="0.35">
      <c r="A10" s="140" t="s">
        <v>141</v>
      </c>
      <c r="B10" s="141">
        <v>5.68</v>
      </c>
      <c r="C10" s="142">
        <v>4.5995236529025929</v>
      </c>
      <c r="D10" s="143">
        <f t="shared" si="3"/>
        <v>0.9</v>
      </c>
      <c r="E10" s="144">
        <f t="shared" si="4"/>
        <v>4.7075712876123337</v>
      </c>
      <c r="F10" s="144">
        <f t="shared" si="0"/>
        <v>-0.97242871238766604</v>
      </c>
      <c r="G10" s="144">
        <f t="shared" si="1"/>
        <v>-1.0804763470974068</v>
      </c>
      <c r="H10" s="143">
        <f t="shared" si="2"/>
        <v>-0.1712022380964201</v>
      </c>
    </row>
    <row r="11" spans="1:8" ht="18" customHeight="1" x14ac:dyDescent="0.35">
      <c r="A11" s="140" t="s">
        <v>165</v>
      </c>
      <c r="B11" s="141">
        <v>2.92</v>
      </c>
      <c r="C11" s="142">
        <v>4.5995236529025929</v>
      </c>
      <c r="D11" s="143" t="str">
        <f t="shared" si="3"/>
        <v>-</v>
      </c>
      <c r="E11" s="144">
        <f t="shared" si="4"/>
        <v>4.5995236529025929</v>
      </c>
      <c r="F11" s="144">
        <f t="shared" si="0"/>
        <v>1.679523652902593</v>
      </c>
      <c r="G11" s="144">
        <f t="shared" si="1"/>
        <v>1.679523652902593</v>
      </c>
      <c r="H11" s="143">
        <f t="shared" si="2"/>
        <v>0.57517933318581949</v>
      </c>
    </row>
    <row r="12" spans="1:8" x14ac:dyDescent="0.35">
      <c r="F12" s="145"/>
    </row>
    <row r="13" spans="1:8" x14ac:dyDescent="0.35">
      <c r="F13" s="145"/>
    </row>
    <row r="14" spans="1:8" ht="18" customHeight="1" x14ac:dyDescent="0.35">
      <c r="A14" s="188" t="s">
        <v>130</v>
      </c>
      <c r="B14" s="188"/>
      <c r="C14" s="188"/>
      <c r="D14" s="188"/>
      <c r="E14" s="188"/>
      <c r="F14" s="134"/>
      <c r="G14" s="134"/>
      <c r="H14" s="135"/>
    </row>
    <row r="15" spans="1:8" ht="38.25" x14ac:dyDescent="0.35">
      <c r="A15" s="136" t="s">
        <v>159</v>
      </c>
      <c r="B15" s="137" t="str">
        <f>B3</f>
        <v>Tarifas atuais</v>
      </c>
      <c r="C15" s="138" t="str">
        <f t="shared" ref="C15:H15" si="5">C3</f>
        <v>Novas Tarifas</v>
      </c>
      <c r="D15" s="156" t="s">
        <v>176</v>
      </c>
      <c r="E15" s="139" t="str">
        <f t="shared" si="5"/>
        <v>Tarifas Aceites</v>
      </c>
      <c r="F15" s="139" t="str">
        <f t="shared" si="5"/>
        <v>Diferença - Tarifas aceites</v>
      </c>
      <c r="G15" s="139"/>
      <c r="H15" s="139" t="str">
        <f t="shared" si="5"/>
        <v>Variação - Tarifas Aceites</v>
      </c>
    </row>
    <row r="16" spans="1:8" ht="18" customHeight="1" x14ac:dyDescent="0.35">
      <c r="A16" s="140" t="s">
        <v>135</v>
      </c>
      <c r="B16" s="141">
        <v>8.6199999999999992</v>
      </c>
      <c r="C16" s="142">
        <v>7.83058574652296</v>
      </c>
      <c r="D16" s="143">
        <f t="shared" ref="D16:D23" si="6">IF(C16/$B16-1&gt;0,"-",IF(C16/$B16-1&lt;-0.5,0.8,IF(C16/$B16-1&gt;-0.1,1,0.9)))</f>
        <v>1</v>
      </c>
      <c r="E16" s="144">
        <f>IF(C16/$B16-1&lt;0,B16*(1+(C16/$B16-1)*D16),C16)</f>
        <v>7.83058574652296</v>
      </c>
      <c r="F16" s="144">
        <f t="shared" ref="F16:F23" si="7">E16-B16</f>
        <v>-0.7894142534770392</v>
      </c>
      <c r="G16" s="144">
        <f t="shared" ref="G16:G23" si="8">C16-B16</f>
        <v>-0.7894142534770392</v>
      </c>
      <c r="H16" s="143">
        <f>E16/$B16-1</f>
        <v>-9.1579379753716883E-2</v>
      </c>
    </row>
    <row r="17" spans="1:10" ht="18" customHeight="1" x14ac:dyDescent="0.35">
      <c r="A17" s="140" t="s">
        <v>136</v>
      </c>
      <c r="B17" s="141">
        <v>1.1200000000000001</v>
      </c>
      <c r="C17" s="142">
        <v>1.1882456483553199</v>
      </c>
      <c r="D17" s="143" t="str">
        <f t="shared" si="6"/>
        <v>-</v>
      </c>
      <c r="E17" s="144">
        <f>IF(C17/$B17-1&lt;0,B17*(1+(C17/$B17-1)*D17),C17)</f>
        <v>1.1882456483553199</v>
      </c>
      <c r="F17" s="144">
        <f t="shared" si="7"/>
        <v>6.8245648355319766E-2</v>
      </c>
      <c r="G17" s="144">
        <f t="shared" si="8"/>
        <v>6.8245648355319766E-2</v>
      </c>
      <c r="H17" s="143">
        <f>E17/$B17-1</f>
        <v>6.0933614602963981E-2</v>
      </c>
    </row>
    <row r="18" spans="1:10" ht="18" customHeight="1" x14ac:dyDescent="0.35">
      <c r="A18" s="140" t="s">
        <v>137</v>
      </c>
      <c r="B18" s="141">
        <v>2.15</v>
      </c>
      <c r="C18" s="142">
        <v>0.90758434724040304</v>
      </c>
      <c r="D18" s="143">
        <f t="shared" si="6"/>
        <v>0.8</v>
      </c>
      <c r="E18" s="144">
        <f t="shared" ref="E18:E23" si="9">IF(C18/$B18-1&lt;0,B18*(1+(C18/$B18-1)*D18),C18)</f>
        <v>1.1560674777923226</v>
      </c>
      <c r="F18" s="144">
        <f t="shared" si="7"/>
        <v>-0.99393252220767736</v>
      </c>
      <c r="G18" s="144">
        <f t="shared" si="8"/>
        <v>-1.2424156527595969</v>
      </c>
      <c r="H18" s="143">
        <f t="shared" ref="H18:H19" si="10">E18/$B18-1</f>
        <v>-0.46229419637566393</v>
      </c>
    </row>
    <row r="19" spans="1:10" ht="18" customHeight="1" x14ac:dyDescent="0.35">
      <c r="A19" s="140" t="s">
        <v>138</v>
      </c>
      <c r="B19" s="141">
        <v>1.93</v>
      </c>
      <c r="C19" s="142">
        <v>2.0164572482901342</v>
      </c>
      <c r="D19" s="143" t="str">
        <f t="shared" si="6"/>
        <v>-</v>
      </c>
      <c r="E19" s="144">
        <f t="shared" si="9"/>
        <v>2.0164572482901342</v>
      </c>
      <c r="F19" s="144">
        <f t="shared" si="7"/>
        <v>8.6457248290134237E-2</v>
      </c>
      <c r="G19" s="144">
        <f t="shared" si="8"/>
        <v>8.6457248290134237E-2</v>
      </c>
      <c r="H19" s="143">
        <f t="shared" si="10"/>
        <v>4.4796501704732705E-2</v>
      </c>
    </row>
    <row r="20" spans="1:10" ht="18" customHeight="1" x14ac:dyDescent="0.35">
      <c r="A20" s="140" t="s">
        <v>139</v>
      </c>
      <c r="B20" s="141">
        <v>1.83</v>
      </c>
      <c r="C20" s="142">
        <v>1.7929841216633284</v>
      </c>
      <c r="D20" s="143">
        <f t="shared" si="6"/>
        <v>1</v>
      </c>
      <c r="E20" s="144">
        <f t="shared" si="9"/>
        <v>1.7929841216633284</v>
      </c>
      <c r="F20" s="144">
        <f t="shared" si="7"/>
        <v>-3.7015878336671637E-2</v>
      </c>
      <c r="G20" s="144">
        <f t="shared" si="8"/>
        <v>-3.7015878336671637E-2</v>
      </c>
      <c r="H20" s="143">
        <f>E20/$B20-1</f>
        <v>-2.0227255921678511E-2</v>
      </c>
    </row>
    <row r="21" spans="1:10" ht="18" customHeight="1" x14ac:dyDescent="0.35">
      <c r="A21" s="140" t="s">
        <v>140</v>
      </c>
      <c r="B21" s="141">
        <v>1.4</v>
      </c>
      <c r="C21" s="142">
        <v>1.7848165233343642</v>
      </c>
      <c r="D21" s="143" t="str">
        <f t="shared" si="6"/>
        <v>-</v>
      </c>
      <c r="E21" s="144">
        <f t="shared" si="9"/>
        <v>1.7848165233343642</v>
      </c>
      <c r="F21" s="144">
        <f t="shared" si="7"/>
        <v>0.38481652333436434</v>
      </c>
      <c r="G21" s="144">
        <f t="shared" si="8"/>
        <v>0.38481652333436434</v>
      </c>
      <c r="H21" s="143">
        <f>E21/$B21-1</f>
        <v>0.27486894523883176</v>
      </c>
    </row>
    <row r="22" spans="1:10" ht="18" customHeight="1" x14ac:dyDescent="0.35">
      <c r="A22" s="140" t="s">
        <v>141</v>
      </c>
      <c r="B22" s="141">
        <v>0.96</v>
      </c>
      <c r="C22" s="142">
        <v>1.178166770231456</v>
      </c>
      <c r="D22" s="143" t="str">
        <f t="shared" si="6"/>
        <v>-</v>
      </c>
      <c r="E22" s="144">
        <f t="shared" si="9"/>
        <v>1.178166770231456</v>
      </c>
      <c r="F22" s="144">
        <f t="shared" si="7"/>
        <v>0.21816677023145603</v>
      </c>
      <c r="G22" s="144">
        <f t="shared" si="8"/>
        <v>0.21816677023145603</v>
      </c>
      <c r="H22" s="143">
        <f>E22/$B22-1</f>
        <v>0.22725705232443327</v>
      </c>
    </row>
    <row r="23" spans="1:10" ht="18" customHeight="1" x14ac:dyDescent="0.35">
      <c r="A23" s="140" t="s">
        <v>165</v>
      </c>
      <c r="B23" s="141">
        <v>1.36</v>
      </c>
      <c r="C23" s="142">
        <v>1.178166770231456</v>
      </c>
      <c r="D23" s="143">
        <f t="shared" si="6"/>
        <v>0.9</v>
      </c>
      <c r="E23" s="144">
        <f t="shared" si="9"/>
        <v>1.1963500932083104</v>
      </c>
      <c r="F23" s="144">
        <f t="shared" si="7"/>
        <v>-0.16364990679168967</v>
      </c>
      <c r="G23" s="144">
        <f t="shared" si="8"/>
        <v>-0.1818332297685441</v>
      </c>
      <c r="H23" s="143">
        <f>E23/$B23-1</f>
        <v>-0.12033081381741884</v>
      </c>
    </row>
    <row r="26" spans="1:10" ht="18" customHeight="1" x14ac:dyDescent="0.35">
      <c r="A26" s="188" t="s">
        <v>166</v>
      </c>
      <c r="B26" s="188"/>
      <c r="C26" s="188"/>
      <c r="D26" s="188"/>
      <c r="E26" s="188"/>
      <c r="F26" s="134"/>
      <c r="G26" s="134"/>
      <c r="H26" s="135"/>
    </row>
    <row r="27" spans="1:10" ht="38.25" x14ac:dyDescent="0.35">
      <c r="A27" s="136" t="s">
        <v>159</v>
      </c>
      <c r="B27" s="137" t="str">
        <f>B15</f>
        <v>Tarifas atuais</v>
      </c>
      <c r="C27" s="138" t="str">
        <f t="shared" ref="C27:H27" si="11">C15</f>
        <v>Novas Tarifas</v>
      </c>
      <c r="D27" s="156" t="s">
        <v>176</v>
      </c>
      <c r="E27" s="139" t="str">
        <f t="shared" si="11"/>
        <v>Tarifas Aceites</v>
      </c>
      <c r="F27" s="139" t="str">
        <f t="shared" si="11"/>
        <v>Diferença - Tarifas aceites</v>
      </c>
      <c r="G27" s="139"/>
      <c r="H27" s="139" t="str">
        <f t="shared" si="11"/>
        <v>Variação - Tarifas Aceites</v>
      </c>
    </row>
    <row r="28" spans="1:10" ht="18" customHeight="1" x14ac:dyDescent="0.35">
      <c r="A28" s="140" t="s">
        <v>135</v>
      </c>
      <c r="B28" s="141">
        <v>11.83</v>
      </c>
      <c r="C28" s="142">
        <v>5.7682118745989897</v>
      </c>
      <c r="D28" s="143">
        <f t="shared" ref="D28:D35" si="12">IF(C28/$B28-1&gt;0,"-",IF(C28/$B28-1&lt;-0.5,0.8,IF(C28/$B28-1&gt;-0.1,1,0.9)))</f>
        <v>0.8</v>
      </c>
      <c r="E28" s="144">
        <f>IF(C28/$B28-1&lt;0,B28*(1+(C28/$B28-1)*D28),C28)</f>
        <v>6.9805694996791914</v>
      </c>
      <c r="F28" s="144">
        <f t="shared" ref="F28:F35" si="13">E28-B28</f>
        <v>-4.8494305003208087</v>
      </c>
      <c r="G28" s="144">
        <f t="shared" ref="G28:G35" si="14">C28-B28</f>
        <v>-6.0617881254010104</v>
      </c>
      <c r="H28" s="143">
        <f t="shared" ref="H28:H35" si="15">E28/$B28-1</f>
        <v>-0.40992650044977252</v>
      </c>
      <c r="I28" s="149"/>
      <c r="J28" s="149"/>
    </row>
    <row r="29" spans="1:10" ht="18" customHeight="1" x14ac:dyDescent="0.35">
      <c r="A29" s="140" t="s">
        <v>136</v>
      </c>
      <c r="B29" s="141">
        <v>12.95</v>
      </c>
      <c r="C29" s="142">
        <v>6.29884095844257</v>
      </c>
      <c r="D29" s="143">
        <f t="shared" si="12"/>
        <v>0.8</v>
      </c>
      <c r="E29" s="144">
        <f>IF(C29/$B29-1&lt;0,B29*(1+(C29/$B29-1)*D29),C29)</f>
        <v>7.6290727667540548</v>
      </c>
      <c r="F29" s="144">
        <f t="shared" si="13"/>
        <v>-5.3209272332459445</v>
      </c>
      <c r="G29" s="144">
        <f t="shared" si="14"/>
        <v>-6.6511590415574293</v>
      </c>
      <c r="H29" s="143">
        <f t="shared" si="15"/>
        <v>-0.4108824118336637</v>
      </c>
      <c r="I29" s="149"/>
      <c r="J29" s="149"/>
    </row>
    <row r="30" spans="1:10" ht="18" customHeight="1" x14ac:dyDescent="0.35">
      <c r="A30" s="140" t="s">
        <v>137</v>
      </c>
      <c r="B30" s="141">
        <v>6.51</v>
      </c>
      <c r="C30" s="142">
        <v>10.011973684562674</v>
      </c>
      <c r="D30" s="143" t="str">
        <f t="shared" si="12"/>
        <v>-</v>
      </c>
      <c r="E30" s="144">
        <f t="shared" ref="E30:E35" si="16">IF(C30/$B30-1&lt;0,B30*(1+(C30/$B30-1)*D30),C30)</f>
        <v>10.011973684562674</v>
      </c>
      <c r="F30" s="144">
        <f t="shared" si="13"/>
        <v>3.5019736845626745</v>
      </c>
      <c r="G30" s="144">
        <f t="shared" si="14"/>
        <v>3.5019736845626745</v>
      </c>
      <c r="H30" s="143">
        <f t="shared" si="15"/>
        <v>0.53793758595432783</v>
      </c>
      <c r="I30" s="149"/>
      <c r="J30" s="149"/>
    </row>
    <row r="31" spans="1:10" ht="18" customHeight="1" x14ac:dyDescent="0.35">
      <c r="A31" s="140" t="s">
        <v>138</v>
      </c>
      <c r="B31" s="141">
        <v>11.7</v>
      </c>
      <c r="C31" s="142">
        <v>6.5419005585854721</v>
      </c>
      <c r="D31" s="143">
        <f t="shared" si="12"/>
        <v>0.9</v>
      </c>
      <c r="E31" s="144">
        <f t="shared" si="16"/>
        <v>7.0577105027269242</v>
      </c>
      <c r="F31" s="144">
        <f t="shared" si="13"/>
        <v>-4.642289497273075</v>
      </c>
      <c r="G31" s="144">
        <f t="shared" si="14"/>
        <v>-5.1580994414145271</v>
      </c>
      <c r="H31" s="143">
        <f t="shared" si="15"/>
        <v>-0.39677688010880985</v>
      </c>
      <c r="I31" s="149"/>
      <c r="J31" s="149"/>
    </row>
    <row r="32" spans="1:10" ht="18" customHeight="1" x14ac:dyDescent="0.35">
      <c r="A32" s="140" t="s">
        <v>139</v>
      </c>
      <c r="B32" s="141">
        <v>6.03</v>
      </c>
      <c r="C32" s="142">
        <v>3.5646704094745187</v>
      </c>
      <c r="D32" s="143">
        <f t="shared" si="12"/>
        <v>0.9</v>
      </c>
      <c r="E32" s="144">
        <f t="shared" si="16"/>
        <v>3.811203368527067</v>
      </c>
      <c r="F32" s="144">
        <f t="shared" si="13"/>
        <v>-2.2187966314729333</v>
      </c>
      <c r="G32" s="144">
        <f t="shared" si="14"/>
        <v>-2.4653295905254815</v>
      </c>
      <c r="H32" s="143">
        <f t="shared" si="15"/>
        <v>-0.36795964037693751</v>
      </c>
      <c r="I32" s="149"/>
      <c r="J32" s="149"/>
    </row>
    <row r="33" spans="1:10" ht="18" customHeight="1" x14ac:dyDescent="0.35">
      <c r="A33" s="140" t="s">
        <v>140</v>
      </c>
      <c r="B33" s="141">
        <v>5.0999999999999996</v>
      </c>
      <c r="C33" s="142">
        <v>6.006624490388349</v>
      </c>
      <c r="D33" s="143" t="str">
        <f t="shared" si="12"/>
        <v>-</v>
      </c>
      <c r="E33" s="144">
        <f t="shared" si="16"/>
        <v>6.006624490388349</v>
      </c>
      <c r="F33" s="144">
        <f t="shared" si="13"/>
        <v>0.90662449038834936</v>
      </c>
      <c r="G33" s="144">
        <f t="shared" si="14"/>
        <v>0.90662449038834936</v>
      </c>
      <c r="H33" s="143">
        <f t="shared" si="15"/>
        <v>0.17776950791928425</v>
      </c>
      <c r="I33" s="149"/>
      <c r="J33" s="149"/>
    </row>
    <row r="34" spans="1:10" ht="18" customHeight="1" x14ac:dyDescent="0.35">
      <c r="A34" s="140" t="s">
        <v>141</v>
      </c>
      <c r="B34" s="141">
        <v>4.7300000000000004</v>
      </c>
      <c r="C34" s="142">
        <v>2.6431745420551942</v>
      </c>
      <c r="D34" s="143">
        <f t="shared" si="12"/>
        <v>0.9</v>
      </c>
      <c r="E34" s="144">
        <f t="shared" si="16"/>
        <v>2.8518570878496745</v>
      </c>
      <c r="F34" s="144">
        <f t="shared" si="13"/>
        <v>-1.8781429121503259</v>
      </c>
      <c r="G34" s="144">
        <f t="shared" si="14"/>
        <v>-2.0868254579448062</v>
      </c>
      <c r="H34" s="143">
        <f t="shared" si="15"/>
        <v>-0.3970703831184621</v>
      </c>
      <c r="I34" s="149"/>
      <c r="J34" s="149"/>
    </row>
    <row r="35" spans="1:10" ht="18" customHeight="1" x14ac:dyDescent="0.35">
      <c r="A35" s="140" t="s">
        <v>165</v>
      </c>
      <c r="B35" s="141">
        <v>5.0999999999999996</v>
      </c>
      <c r="C35" s="142">
        <v>2.6431745420551942</v>
      </c>
      <c r="D35" s="143">
        <f t="shared" si="12"/>
        <v>0.9</v>
      </c>
      <c r="E35" s="144">
        <f t="shared" si="16"/>
        <v>2.8888570878496749</v>
      </c>
      <c r="F35" s="144">
        <f t="shared" si="13"/>
        <v>-2.2111429121503248</v>
      </c>
      <c r="G35" s="144">
        <f t="shared" si="14"/>
        <v>-2.4568254579448054</v>
      </c>
      <c r="H35" s="143">
        <f t="shared" si="15"/>
        <v>-0.43355743375496569</v>
      </c>
      <c r="I35" s="149"/>
      <c r="J35" s="149"/>
    </row>
    <row r="36" spans="1:10" ht="18" customHeight="1" x14ac:dyDescent="0.35">
      <c r="A36" s="147"/>
      <c r="B36" s="147"/>
      <c r="C36" s="147"/>
      <c r="D36" s="147"/>
      <c r="E36" s="148"/>
      <c r="F36" s="148"/>
      <c r="G36" s="148"/>
      <c r="H36" s="147"/>
    </row>
    <row r="37" spans="1:10" ht="18" customHeight="1" x14ac:dyDescent="0.35">
      <c r="A37" s="184" t="s">
        <v>167</v>
      </c>
      <c r="B37" s="185"/>
      <c r="C37" s="185"/>
      <c r="D37" s="185"/>
      <c r="E37" s="186"/>
      <c r="F37" s="146"/>
      <c r="G37" s="146"/>
      <c r="H37" s="146"/>
    </row>
    <row r="38" spans="1:10" ht="40.5" x14ac:dyDescent="0.35">
      <c r="A38" s="136" t="s">
        <v>159</v>
      </c>
      <c r="B38" s="137" t="str">
        <f>B27</f>
        <v>Tarifas atuais</v>
      </c>
      <c r="C38" s="138" t="str">
        <f>C27</f>
        <v>Novas Tarifas</v>
      </c>
      <c r="D38" s="139" t="str">
        <f>D27</f>
        <v>Percentagem de aceitação das reduções</v>
      </c>
      <c r="E38" s="139" t="str">
        <f>E27</f>
        <v>Tarifas Aceites</v>
      </c>
      <c r="F38" s="139" t="str">
        <f t="shared" ref="F38:H38" si="17">F27</f>
        <v>Diferença - Tarifas aceites</v>
      </c>
      <c r="G38" s="139"/>
      <c r="H38" s="139" t="str">
        <f t="shared" si="17"/>
        <v>Variação - Tarifas Aceites</v>
      </c>
    </row>
    <row r="39" spans="1:10" ht="18" customHeight="1" x14ac:dyDescent="0.35">
      <c r="A39" s="140" t="s">
        <v>135</v>
      </c>
      <c r="B39" s="141">
        <f t="shared" ref="B39:C46" si="18">B4</f>
        <v>29.71</v>
      </c>
      <c r="C39" s="142">
        <f t="shared" si="18"/>
        <v>32.360078367294832</v>
      </c>
      <c r="D39" s="143"/>
      <c r="E39" s="144">
        <f t="shared" ref="E39:E46" si="19">E4</f>
        <v>32.360078367294832</v>
      </c>
      <c r="F39" s="144">
        <f t="shared" ref="F39:F46" si="20">E39-B39</f>
        <v>2.6500783672948316</v>
      </c>
      <c r="G39" s="144">
        <f t="shared" ref="G39:G46" si="21">C39-B39</f>
        <v>2.6500783672948316</v>
      </c>
      <c r="H39" s="143">
        <f t="shared" ref="H39:H46" si="22">E39/$B39-1</f>
        <v>8.9198194792825092E-2</v>
      </c>
    </row>
    <row r="40" spans="1:10" ht="18" customHeight="1" x14ac:dyDescent="0.35">
      <c r="A40" s="140" t="s">
        <v>136</v>
      </c>
      <c r="B40" s="141">
        <f t="shared" si="18"/>
        <v>10.87</v>
      </c>
      <c r="C40" s="142">
        <f t="shared" si="18"/>
        <v>3.7365646434444688</v>
      </c>
      <c r="D40" s="143"/>
      <c r="E40" s="144">
        <f t="shared" si="19"/>
        <v>5.1632517147555745</v>
      </c>
      <c r="F40" s="144">
        <f t="shared" si="20"/>
        <v>-5.7067482852444247</v>
      </c>
      <c r="G40" s="144">
        <f t="shared" si="21"/>
        <v>-7.1334353565555304</v>
      </c>
      <c r="H40" s="143">
        <f t="shared" si="22"/>
        <v>-0.52499984224879714</v>
      </c>
    </row>
    <row r="41" spans="1:10" ht="18" customHeight="1" x14ac:dyDescent="0.35">
      <c r="A41" s="140" t="s">
        <v>137</v>
      </c>
      <c r="B41" s="141">
        <f t="shared" si="18"/>
        <v>4.41</v>
      </c>
      <c r="C41" s="142">
        <f t="shared" si="18"/>
        <v>20.748174133014071</v>
      </c>
      <c r="D41" s="143"/>
      <c r="E41" s="144">
        <f t="shared" si="19"/>
        <v>20.748174133014071</v>
      </c>
      <c r="F41" s="144">
        <f t="shared" si="20"/>
        <v>16.338174133014071</v>
      </c>
      <c r="G41" s="144">
        <f t="shared" si="21"/>
        <v>16.338174133014071</v>
      </c>
      <c r="H41" s="143">
        <f t="shared" si="22"/>
        <v>3.7048013907061383</v>
      </c>
    </row>
    <row r="42" spans="1:10" ht="18" customHeight="1" x14ac:dyDescent="0.35">
      <c r="A42" s="140" t="s">
        <v>138</v>
      </c>
      <c r="B42" s="141">
        <f t="shared" si="18"/>
        <v>4.72</v>
      </c>
      <c r="C42" s="142">
        <f t="shared" si="18"/>
        <v>4.1582307039403972</v>
      </c>
      <c r="D42" s="143"/>
      <c r="E42" s="144">
        <f t="shared" si="19"/>
        <v>4.2144076335463581</v>
      </c>
      <c r="F42" s="144">
        <f t="shared" si="20"/>
        <v>-0.5055923664536417</v>
      </c>
      <c r="G42" s="144">
        <f t="shared" si="21"/>
        <v>-0.56176929605960257</v>
      </c>
      <c r="H42" s="143">
        <f t="shared" si="22"/>
        <v>-0.10711702679102575</v>
      </c>
    </row>
    <row r="43" spans="1:10" ht="18" customHeight="1" x14ac:dyDescent="0.35">
      <c r="A43" s="140" t="s">
        <v>139</v>
      </c>
      <c r="B43" s="141">
        <f t="shared" si="18"/>
        <v>6.29</v>
      </c>
      <c r="C43" s="142">
        <f t="shared" si="18"/>
        <v>5.1623914281489842</v>
      </c>
      <c r="D43" s="143"/>
      <c r="E43" s="144">
        <f t="shared" si="19"/>
        <v>5.2751522853340855</v>
      </c>
      <c r="F43" s="144">
        <f t="shared" si="20"/>
        <v>-1.0148477146659145</v>
      </c>
      <c r="G43" s="144">
        <f t="shared" si="21"/>
        <v>-1.1276085718510158</v>
      </c>
      <c r="H43" s="143">
        <f t="shared" si="22"/>
        <v>-0.16134303889760171</v>
      </c>
    </row>
    <row r="44" spans="1:10" ht="18" customHeight="1" x14ac:dyDescent="0.35">
      <c r="A44" s="140" t="s">
        <v>140</v>
      </c>
      <c r="B44" s="141">
        <f t="shared" si="18"/>
        <v>4.4800000000000004</v>
      </c>
      <c r="C44" s="142">
        <f t="shared" si="18"/>
        <v>8.2255686159977692</v>
      </c>
      <c r="D44" s="143"/>
      <c r="E44" s="144">
        <f t="shared" si="19"/>
        <v>8.2255686159977692</v>
      </c>
      <c r="F44" s="144">
        <f t="shared" si="20"/>
        <v>3.7455686159977688</v>
      </c>
      <c r="G44" s="144">
        <f t="shared" si="21"/>
        <v>3.7455686159977688</v>
      </c>
      <c r="H44" s="143">
        <f t="shared" si="22"/>
        <v>0.83606442321378749</v>
      </c>
    </row>
    <row r="45" spans="1:10" ht="18" customHeight="1" x14ac:dyDescent="0.35">
      <c r="A45" s="140" t="s">
        <v>141</v>
      </c>
      <c r="B45" s="141">
        <f t="shared" si="18"/>
        <v>5.68</v>
      </c>
      <c r="C45" s="142">
        <f t="shared" si="18"/>
        <v>4.5995236529025929</v>
      </c>
      <c r="D45" s="143"/>
      <c r="E45" s="144">
        <f t="shared" si="19"/>
        <v>4.7075712876123337</v>
      </c>
      <c r="F45" s="144">
        <f t="shared" si="20"/>
        <v>-0.97242871238766604</v>
      </c>
      <c r="G45" s="144">
        <f t="shared" si="21"/>
        <v>-1.0804763470974068</v>
      </c>
      <c r="H45" s="143">
        <f t="shared" si="22"/>
        <v>-0.1712022380964201</v>
      </c>
    </row>
    <row r="46" spans="1:10" ht="18" customHeight="1" x14ac:dyDescent="0.35">
      <c r="A46" s="140" t="s">
        <v>165</v>
      </c>
      <c r="B46" s="141">
        <f t="shared" si="18"/>
        <v>2.92</v>
      </c>
      <c r="C46" s="142">
        <f t="shared" si="18"/>
        <v>4.5995236529025929</v>
      </c>
      <c r="D46" s="143"/>
      <c r="E46" s="144">
        <f t="shared" si="19"/>
        <v>4.5995236529025929</v>
      </c>
      <c r="F46" s="144">
        <f t="shared" si="20"/>
        <v>1.679523652902593</v>
      </c>
      <c r="G46" s="144">
        <f t="shared" si="21"/>
        <v>1.679523652902593</v>
      </c>
      <c r="H46" s="143">
        <f t="shared" si="22"/>
        <v>0.57517933318581949</v>
      </c>
    </row>
    <row r="48" spans="1:10" ht="18" customHeight="1" x14ac:dyDescent="0.35">
      <c r="A48" s="184" t="s">
        <v>168</v>
      </c>
      <c r="B48" s="185"/>
      <c r="C48" s="185"/>
      <c r="D48" s="185"/>
      <c r="E48" s="186"/>
      <c r="F48" s="146"/>
      <c r="G48" s="146"/>
      <c r="H48" s="146"/>
    </row>
    <row r="49" spans="1:8" ht="40.5" x14ac:dyDescent="0.35">
      <c r="A49" s="136" t="s">
        <v>159</v>
      </c>
      <c r="B49" s="137" t="str">
        <f>B38</f>
        <v>Tarifas atuais</v>
      </c>
      <c r="C49" s="138" t="str">
        <f t="shared" ref="C49:F49" si="23">C38</f>
        <v>Novas Tarifas</v>
      </c>
      <c r="D49" s="139" t="str">
        <f t="shared" si="23"/>
        <v>Percentagem de aceitação das reduções</v>
      </c>
      <c r="E49" s="139" t="str">
        <f t="shared" si="23"/>
        <v>Tarifas Aceites</v>
      </c>
      <c r="F49" s="139" t="str">
        <f t="shared" si="23"/>
        <v>Diferença - Tarifas aceites</v>
      </c>
      <c r="G49" s="139"/>
      <c r="H49" s="139" t="str">
        <f t="shared" ref="H49" si="24">H38</f>
        <v>Variação - Tarifas Aceites</v>
      </c>
    </row>
    <row r="50" spans="1:8" ht="18" customHeight="1" x14ac:dyDescent="0.35">
      <c r="A50" s="140" t="s">
        <v>135</v>
      </c>
      <c r="B50" s="141">
        <f t="shared" ref="B50:C57" si="25">B16+B28</f>
        <v>20.45</v>
      </c>
      <c r="C50" s="142">
        <f t="shared" si="25"/>
        <v>13.59879762112195</v>
      </c>
      <c r="D50" s="143"/>
      <c r="E50" s="144">
        <f t="shared" ref="E50:E57" si="26">E16+E28</f>
        <v>14.811155246202151</v>
      </c>
      <c r="F50" s="144">
        <f t="shared" ref="F50:F57" si="27">E50-B50</f>
        <v>-5.6388447537978479</v>
      </c>
      <c r="G50" s="144">
        <f t="shared" ref="G50:G57" si="28">C50-B50</f>
        <v>-6.8512023788780496</v>
      </c>
      <c r="H50" s="143">
        <f t="shared" ref="H50:H57" si="29">E50/$B50-1</f>
        <v>-0.27573812977006595</v>
      </c>
    </row>
    <row r="51" spans="1:8" ht="18" customHeight="1" x14ac:dyDescent="0.35">
      <c r="A51" s="140" t="s">
        <v>136</v>
      </c>
      <c r="B51" s="141">
        <f t="shared" si="25"/>
        <v>14.07</v>
      </c>
      <c r="C51" s="142">
        <f t="shared" si="25"/>
        <v>7.4870866067978898</v>
      </c>
      <c r="D51" s="143"/>
      <c r="E51" s="144">
        <f t="shared" si="26"/>
        <v>8.8173184151093746</v>
      </c>
      <c r="F51" s="144">
        <f t="shared" si="27"/>
        <v>-5.2526815848906256</v>
      </c>
      <c r="G51" s="144">
        <f t="shared" si="28"/>
        <v>-6.5829133932021104</v>
      </c>
      <c r="H51" s="143">
        <f t="shared" si="29"/>
        <v>-0.37332491719194216</v>
      </c>
    </row>
    <row r="52" spans="1:8" ht="18" customHeight="1" x14ac:dyDescent="0.35">
      <c r="A52" s="140" t="s">
        <v>137</v>
      </c>
      <c r="B52" s="141">
        <f t="shared" si="25"/>
        <v>8.66</v>
      </c>
      <c r="C52" s="142">
        <f t="shared" si="25"/>
        <v>10.919558031803078</v>
      </c>
      <c r="D52" s="143"/>
      <c r="E52" s="144">
        <f t="shared" si="26"/>
        <v>11.168041162354998</v>
      </c>
      <c r="F52" s="144">
        <f t="shared" si="27"/>
        <v>2.5080411623549974</v>
      </c>
      <c r="G52" s="144">
        <f t="shared" si="28"/>
        <v>2.2595580318030777</v>
      </c>
      <c r="H52" s="143">
        <f t="shared" si="29"/>
        <v>0.28961214345900665</v>
      </c>
    </row>
    <row r="53" spans="1:8" ht="18" customHeight="1" x14ac:dyDescent="0.35">
      <c r="A53" s="140" t="s">
        <v>138</v>
      </c>
      <c r="B53" s="141">
        <f t="shared" si="25"/>
        <v>13.629999999999999</v>
      </c>
      <c r="C53" s="142">
        <f t="shared" si="25"/>
        <v>8.5583578068756054</v>
      </c>
      <c r="D53" s="143"/>
      <c r="E53" s="144">
        <f t="shared" si="26"/>
        <v>9.0741677510170575</v>
      </c>
      <c r="F53" s="144">
        <f t="shared" si="27"/>
        <v>-4.5558322489829415</v>
      </c>
      <c r="G53" s="144">
        <f t="shared" si="28"/>
        <v>-5.0716421931243936</v>
      </c>
      <c r="H53" s="143">
        <f t="shared" si="29"/>
        <v>-0.33425034842134571</v>
      </c>
    </row>
    <row r="54" spans="1:8" ht="18" customHeight="1" x14ac:dyDescent="0.35">
      <c r="A54" s="140" t="s">
        <v>139</v>
      </c>
      <c r="B54" s="141">
        <f t="shared" si="25"/>
        <v>7.86</v>
      </c>
      <c r="C54" s="142">
        <f t="shared" si="25"/>
        <v>5.3576545311378467</v>
      </c>
      <c r="D54" s="143"/>
      <c r="E54" s="144">
        <f t="shared" si="26"/>
        <v>5.6041874901903954</v>
      </c>
      <c r="F54" s="144">
        <f t="shared" si="27"/>
        <v>-2.2558125098096049</v>
      </c>
      <c r="G54" s="144">
        <f t="shared" si="28"/>
        <v>-2.5023454688621536</v>
      </c>
      <c r="H54" s="143">
        <f t="shared" si="29"/>
        <v>-0.28699904704956802</v>
      </c>
    </row>
    <row r="55" spans="1:8" ht="18" customHeight="1" x14ac:dyDescent="0.35">
      <c r="A55" s="140" t="s">
        <v>140</v>
      </c>
      <c r="B55" s="141">
        <f t="shared" si="25"/>
        <v>6.5</v>
      </c>
      <c r="C55" s="142">
        <f t="shared" si="25"/>
        <v>7.7914410137227135</v>
      </c>
      <c r="D55" s="143"/>
      <c r="E55" s="144">
        <f t="shared" si="26"/>
        <v>7.7914410137227135</v>
      </c>
      <c r="F55" s="144">
        <f t="shared" si="27"/>
        <v>1.2914410137227135</v>
      </c>
      <c r="G55" s="144">
        <f t="shared" si="28"/>
        <v>1.2914410137227135</v>
      </c>
      <c r="H55" s="143">
        <f t="shared" si="29"/>
        <v>0.19868323288041756</v>
      </c>
    </row>
    <row r="56" spans="1:8" ht="18" customHeight="1" x14ac:dyDescent="0.35">
      <c r="A56" s="140" t="s">
        <v>141</v>
      </c>
      <c r="B56" s="141">
        <f t="shared" si="25"/>
        <v>5.69</v>
      </c>
      <c r="C56" s="142">
        <f t="shared" si="25"/>
        <v>3.8213413122866502</v>
      </c>
      <c r="D56" s="143"/>
      <c r="E56" s="144">
        <f t="shared" si="26"/>
        <v>4.0300238580811305</v>
      </c>
      <c r="F56" s="144">
        <f t="shared" si="27"/>
        <v>-1.6599761419188699</v>
      </c>
      <c r="G56" s="144">
        <f t="shared" si="28"/>
        <v>-1.8686586877133502</v>
      </c>
      <c r="H56" s="143">
        <f t="shared" si="29"/>
        <v>-0.29173570156746398</v>
      </c>
    </row>
    <row r="57" spans="1:8" ht="18" customHeight="1" x14ac:dyDescent="0.35">
      <c r="A57" s="140" t="s">
        <v>165</v>
      </c>
      <c r="B57" s="141">
        <f t="shared" si="25"/>
        <v>6.46</v>
      </c>
      <c r="C57" s="142">
        <f t="shared" si="25"/>
        <v>3.8213413122866502</v>
      </c>
      <c r="D57" s="143"/>
      <c r="E57" s="144">
        <f t="shared" si="26"/>
        <v>4.0852071810579851</v>
      </c>
      <c r="F57" s="144">
        <f t="shared" si="27"/>
        <v>-2.3747928189420149</v>
      </c>
      <c r="G57" s="144">
        <f t="shared" si="28"/>
        <v>-2.6386586877133498</v>
      </c>
      <c r="H57" s="143">
        <f t="shared" si="29"/>
        <v>-0.36761498745232424</v>
      </c>
    </row>
    <row r="59" spans="1:8" ht="18" customHeight="1" x14ac:dyDescent="0.35">
      <c r="A59" s="184" t="s">
        <v>169</v>
      </c>
      <c r="B59" s="185"/>
      <c r="C59" s="185"/>
      <c r="D59" s="185"/>
      <c r="E59" s="186"/>
      <c r="F59" s="146"/>
      <c r="G59" s="146"/>
      <c r="H59" s="146"/>
    </row>
    <row r="60" spans="1:8" ht="40.5" x14ac:dyDescent="0.35">
      <c r="A60" s="136" t="s">
        <v>159</v>
      </c>
      <c r="B60" s="137" t="str">
        <f>B49</f>
        <v>Tarifas atuais</v>
      </c>
      <c r="C60" s="138" t="str">
        <f t="shared" ref="C60:F60" si="30">C49</f>
        <v>Novas Tarifas</v>
      </c>
      <c r="D60" s="139" t="str">
        <f t="shared" si="30"/>
        <v>Percentagem de aceitação das reduções</v>
      </c>
      <c r="E60" s="139" t="str">
        <f t="shared" si="30"/>
        <v>Tarifas Aceites</v>
      </c>
      <c r="F60" s="139" t="str">
        <f t="shared" si="30"/>
        <v>Diferença - Tarifas aceites</v>
      </c>
      <c r="G60" s="139"/>
      <c r="H60" s="139" t="str">
        <f t="shared" ref="H60" si="31">H49</f>
        <v>Variação - Tarifas Aceites</v>
      </c>
    </row>
    <row r="61" spans="1:8" ht="18" customHeight="1" x14ac:dyDescent="0.35">
      <c r="A61" s="140" t="s">
        <v>135</v>
      </c>
      <c r="B61" s="141">
        <f>B50+B39</f>
        <v>50.16</v>
      </c>
      <c r="C61" s="142">
        <f t="shared" ref="C61:C68" si="32">C50+C39</f>
        <v>45.958875988416779</v>
      </c>
      <c r="D61" s="143"/>
      <c r="E61" s="144">
        <f t="shared" ref="E61:E68" si="33">E50+E39</f>
        <v>47.17123361349698</v>
      </c>
      <c r="F61" s="144">
        <f t="shared" ref="F61:F68" si="34">E61-B61</f>
        <v>-2.9887663865030163</v>
      </c>
      <c r="G61" s="144">
        <f t="shared" ref="G61:G68" si="35">C61-B61</f>
        <v>-4.201124011583218</v>
      </c>
      <c r="H61" s="143">
        <f t="shared" ref="H61:H68" si="36">E61/$B61-1</f>
        <v>-5.9584656828210014E-2</v>
      </c>
    </row>
    <row r="62" spans="1:8" ht="18" customHeight="1" x14ac:dyDescent="0.35">
      <c r="A62" s="140" t="s">
        <v>136</v>
      </c>
      <c r="B62" s="141">
        <f t="shared" ref="B62:B68" si="37">B51+B40</f>
        <v>24.939999999999998</v>
      </c>
      <c r="C62" s="142">
        <f t="shared" si="32"/>
        <v>11.223651250242359</v>
      </c>
      <c r="D62" s="143"/>
      <c r="E62" s="144">
        <f t="shared" si="33"/>
        <v>13.980570129864949</v>
      </c>
      <c r="F62" s="144">
        <f t="shared" si="34"/>
        <v>-10.959429870135049</v>
      </c>
      <c r="G62" s="144">
        <f t="shared" si="35"/>
        <v>-13.716348749757639</v>
      </c>
      <c r="H62" s="143">
        <f t="shared" si="36"/>
        <v>-0.43943183120028262</v>
      </c>
    </row>
    <row r="63" spans="1:8" ht="18" customHeight="1" x14ac:dyDescent="0.35">
      <c r="A63" s="140" t="s">
        <v>137</v>
      </c>
      <c r="B63" s="141">
        <f t="shared" si="37"/>
        <v>13.07</v>
      </c>
      <c r="C63" s="142">
        <f t="shared" si="32"/>
        <v>31.667732164817149</v>
      </c>
      <c r="D63" s="143"/>
      <c r="E63" s="144">
        <f t="shared" si="33"/>
        <v>31.916215295369071</v>
      </c>
      <c r="F63" s="144">
        <f t="shared" si="34"/>
        <v>18.84621529536907</v>
      </c>
      <c r="G63" s="144">
        <f t="shared" si="35"/>
        <v>18.597732164817149</v>
      </c>
      <c r="H63" s="143">
        <f t="shared" si="36"/>
        <v>1.4419445520557819</v>
      </c>
    </row>
    <row r="64" spans="1:8" ht="18" customHeight="1" x14ac:dyDescent="0.35">
      <c r="A64" s="140" t="s">
        <v>138</v>
      </c>
      <c r="B64" s="141">
        <f t="shared" si="37"/>
        <v>18.349999999999998</v>
      </c>
      <c r="C64" s="142">
        <f t="shared" si="32"/>
        <v>12.716588510816003</v>
      </c>
      <c r="D64" s="143"/>
      <c r="E64" s="144">
        <f t="shared" si="33"/>
        <v>13.288575384563416</v>
      </c>
      <c r="F64" s="144">
        <f t="shared" si="34"/>
        <v>-5.0614246154365823</v>
      </c>
      <c r="G64" s="144">
        <f t="shared" si="35"/>
        <v>-5.6334114891839953</v>
      </c>
      <c r="H64" s="143">
        <f t="shared" si="36"/>
        <v>-0.27582695451970474</v>
      </c>
    </row>
    <row r="65" spans="1:10" ht="18" customHeight="1" x14ac:dyDescent="0.35">
      <c r="A65" s="140" t="s">
        <v>139</v>
      </c>
      <c r="B65" s="141">
        <f t="shared" si="37"/>
        <v>14.15</v>
      </c>
      <c r="C65" s="142">
        <f t="shared" si="32"/>
        <v>10.520045959286831</v>
      </c>
      <c r="D65" s="143"/>
      <c r="E65" s="144">
        <f t="shared" si="33"/>
        <v>10.879339775524482</v>
      </c>
      <c r="F65" s="144">
        <f t="shared" si="34"/>
        <v>-3.2706602244755185</v>
      </c>
      <c r="G65" s="144">
        <f t="shared" si="35"/>
        <v>-3.6299540407131694</v>
      </c>
      <c r="H65" s="143">
        <f t="shared" si="36"/>
        <v>-0.23114206533395887</v>
      </c>
    </row>
    <row r="66" spans="1:10" ht="18" customHeight="1" x14ac:dyDescent="0.35">
      <c r="A66" s="140" t="s">
        <v>140</v>
      </c>
      <c r="B66" s="141">
        <f t="shared" si="37"/>
        <v>10.98</v>
      </c>
      <c r="C66" s="142">
        <f t="shared" si="32"/>
        <v>16.017009629720484</v>
      </c>
      <c r="D66" s="143"/>
      <c r="E66" s="144">
        <f t="shared" si="33"/>
        <v>16.017009629720484</v>
      </c>
      <c r="F66" s="144">
        <f t="shared" si="34"/>
        <v>5.0370096297204832</v>
      </c>
      <c r="G66" s="144">
        <f t="shared" si="35"/>
        <v>5.0370096297204832</v>
      </c>
      <c r="H66" s="143">
        <f t="shared" si="36"/>
        <v>0.45874404642263045</v>
      </c>
    </row>
    <row r="67" spans="1:10" ht="18" customHeight="1" x14ac:dyDescent="0.35">
      <c r="A67" s="140" t="s">
        <v>141</v>
      </c>
      <c r="B67" s="141">
        <f t="shared" si="37"/>
        <v>11.370000000000001</v>
      </c>
      <c r="C67" s="142">
        <f t="shared" si="32"/>
        <v>8.4208649651892422</v>
      </c>
      <c r="D67" s="143"/>
      <c r="E67" s="144">
        <f t="shared" si="33"/>
        <v>8.7375951456934651</v>
      </c>
      <c r="F67" s="144">
        <f t="shared" si="34"/>
        <v>-2.6324048543065359</v>
      </c>
      <c r="G67" s="144">
        <f t="shared" si="35"/>
        <v>-2.9491350348107588</v>
      </c>
      <c r="H67" s="143">
        <f t="shared" si="36"/>
        <v>-0.23152197487304627</v>
      </c>
    </row>
    <row r="68" spans="1:10" ht="18" customHeight="1" x14ac:dyDescent="0.35">
      <c r="A68" s="140" t="s">
        <v>165</v>
      </c>
      <c r="B68" s="141">
        <f t="shared" si="37"/>
        <v>9.379999999999999</v>
      </c>
      <c r="C68" s="142">
        <f t="shared" si="32"/>
        <v>8.4208649651892422</v>
      </c>
      <c r="D68" s="143"/>
      <c r="E68" s="144">
        <f t="shared" si="33"/>
        <v>8.6847308339605789</v>
      </c>
      <c r="F68" s="144">
        <f t="shared" si="34"/>
        <v>-0.69526916603942013</v>
      </c>
      <c r="G68" s="144">
        <f t="shared" si="35"/>
        <v>-0.95913503481075679</v>
      </c>
      <c r="H68" s="143">
        <f t="shared" si="36"/>
        <v>-7.4122512370940363E-2</v>
      </c>
      <c r="J68" s="145"/>
    </row>
  </sheetData>
  <mergeCells count="7">
    <mergeCell ref="A59:E59"/>
    <mergeCell ref="A1:H1"/>
    <mergeCell ref="A2:E2"/>
    <mergeCell ref="A14:E14"/>
    <mergeCell ref="A26:E26"/>
    <mergeCell ref="A37:E37"/>
    <mergeCell ref="A48:E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346F0-1EC7-448E-9C34-A3CAF2D335DD}">
  <sheetPr>
    <tabColor rgb="FF92D050"/>
  </sheetPr>
  <dimension ref="A1:L98"/>
  <sheetViews>
    <sheetView showGridLines="0" topLeftCell="A52" zoomScale="150" zoomScaleNormal="150" workbookViewId="0">
      <selection activeCell="C61" sqref="C61"/>
    </sheetView>
  </sheetViews>
  <sheetFormatPr defaultColWidth="9.265625" defaultRowHeight="13.5" outlineLevelRow="1" x14ac:dyDescent="0.35"/>
  <cols>
    <col min="1" max="1" width="42" style="119" customWidth="1"/>
    <col min="2" max="9" width="13.19921875" style="119" customWidth="1"/>
    <col min="10" max="16384" width="9.265625" style="121"/>
  </cols>
  <sheetData>
    <row r="1" spans="1:9" ht="19.8" customHeight="1" x14ac:dyDescent="0.35">
      <c r="B1" s="189" t="s">
        <v>150</v>
      </c>
      <c r="C1" s="189"/>
      <c r="D1" s="189"/>
      <c r="E1" s="189"/>
      <c r="F1" s="189"/>
      <c r="G1" s="189"/>
      <c r="H1" s="189"/>
      <c r="I1" s="189"/>
    </row>
    <row r="2" spans="1:9" x14ac:dyDescent="0.35">
      <c r="A2" s="129" t="s">
        <v>121</v>
      </c>
      <c r="B2" s="129"/>
      <c r="C2" s="120"/>
      <c r="D2" s="120"/>
      <c r="E2" s="120"/>
      <c r="F2" s="120"/>
      <c r="G2" s="120"/>
      <c r="H2" s="120"/>
      <c r="I2" s="120"/>
    </row>
    <row r="3" spans="1:9" outlineLevel="1" x14ac:dyDescent="0.35">
      <c r="A3" s="119" t="s">
        <v>122</v>
      </c>
      <c r="B3" s="122">
        <v>0.6</v>
      </c>
      <c r="C3" s="120"/>
      <c r="D3" s="120"/>
      <c r="E3" s="120"/>
      <c r="F3" s="120"/>
      <c r="G3" s="120"/>
      <c r="H3" s="120"/>
      <c r="I3" s="120"/>
    </row>
    <row r="4" spans="1:9" outlineLevel="1" x14ac:dyDescent="0.35">
      <c r="A4" s="119" t="s">
        <v>123</v>
      </c>
      <c r="B4" s="122">
        <v>0.1</v>
      </c>
      <c r="C4" s="120"/>
      <c r="D4" s="120"/>
      <c r="E4" s="120"/>
      <c r="F4" s="120"/>
      <c r="G4" s="120"/>
      <c r="H4" s="120"/>
      <c r="I4" s="120"/>
    </row>
    <row r="5" spans="1:9" outlineLevel="1" x14ac:dyDescent="0.35">
      <c r="A5" s="119" t="s">
        <v>124</v>
      </c>
      <c r="B5" s="122">
        <v>0.3</v>
      </c>
      <c r="C5" s="120"/>
      <c r="D5" s="120"/>
      <c r="E5" s="120"/>
      <c r="F5" s="120"/>
      <c r="G5" s="120"/>
      <c r="H5" s="120"/>
      <c r="I5" s="120"/>
    </row>
    <row r="6" spans="1:9" x14ac:dyDescent="0.35">
      <c r="B6" s="120"/>
      <c r="C6" s="120"/>
      <c r="D6" s="120"/>
      <c r="E6" s="120"/>
      <c r="F6" s="120"/>
      <c r="G6" s="120"/>
      <c r="H6" s="120"/>
      <c r="I6" s="120"/>
    </row>
    <row r="7" spans="1:9" x14ac:dyDescent="0.35">
      <c r="A7" s="123" t="s">
        <v>125</v>
      </c>
      <c r="B7" s="120" t="s">
        <v>126</v>
      </c>
      <c r="C7" s="120" t="s">
        <v>127</v>
      </c>
      <c r="D7" s="120" t="s">
        <v>128</v>
      </c>
      <c r="E7" s="120" t="s">
        <v>129</v>
      </c>
      <c r="F7" s="120" t="s">
        <v>130</v>
      </c>
      <c r="G7" s="120" t="s">
        <v>131</v>
      </c>
      <c r="H7" s="120" t="s">
        <v>132</v>
      </c>
      <c r="I7" s="120" t="s">
        <v>133</v>
      </c>
    </row>
    <row r="8" spans="1:9" outlineLevel="1" x14ac:dyDescent="0.35">
      <c r="B8" s="120" t="s">
        <v>134</v>
      </c>
      <c r="C8" s="120" t="s">
        <v>134</v>
      </c>
      <c r="D8" s="120" t="s">
        <v>134</v>
      </c>
      <c r="E8" s="120" t="s">
        <v>134</v>
      </c>
      <c r="F8" s="120" t="s">
        <v>134</v>
      </c>
      <c r="G8" s="120" t="s">
        <v>134</v>
      </c>
      <c r="H8" s="120" t="s">
        <v>134</v>
      </c>
      <c r="I8" s="120" t="s">
        <v>134</v>
      </c>
    </row>
    <row r="9" spans="1:9" outlineLevel="1" x14ac:dyDescent="0.35">
      <c r="A9" s="119" t="s">
        <v>135</v>
      </c>
      <c r="B9" s="124">
        <v>4.7295378638200454</v>
      </c>
      <c r="C9" s="124">
        <v>11.289499303882732</v>
      </c>
      <c r="D9" s="124">
        <v>5.3235580873022483</v>
      </c>
      <c r="E9" s="124">
        <v>11.017483112289804</v>
      </c>
      <c r="F9" s="124">
        <v>7.83058574652296</v>
      </c>
      <c r="G9" s="124">
        <v>1.0741025093624856</v>
      </c>
      <c r="H9" s="124">
        <v>4.4496914229641256</v>
      </c>
      <c r="I9" s="124">
        <v>0.24441794227237837</v>
      </c>
    </row>
    <row r="10" spans="1:9" outlineLevel="1" x14ac:dyDescent="0.35">
      <c r="A10" s="119" t="s">
        <v>136</v>
      </c>
      <c r="B10" s="124">
        <v>1.7627249588772742</v>
      </c>
      <c r="C10" s="124"/>
      <c r="D10" s="124">
        <v>0.47636116240032739</v>
      </c>
      <c r="E10" s="124">
        <v>1.4974785221668674</v>
      </c>
      <c r="F10" s="124">
        <v>1.1882456483553199</v>
      </c>
      <c r="G10" s="124">
        <v>3.7972142134929192</v>
      </c>
      <c r="H10" s="124">
        <v>2.3573554002067558</v>
      </c>
      <c r="I10" s="124">
        <v>0.14427134474289535</v>
      </c>
    </row>
    <row r="11" spans="1:9" outlineLevel="1" x14ac:dyDescent="0.35">
      <c r="A11" s="119" t="s">
        <v>137</v>
      </c>
      <c r="B11" s="124">
        <v>7.6625755205122719</v>
      </c>
      <c r="C11" s="124"/>
      <c r="D11" s="124">
        <v>1.0019824529448176</v>
      </c>
      <c r="E11" s="124">
        <v>12.083616159556982</v>
      </c>
      <c r="F11" s="124">
        <v>0.90758434724040304</v>
      </c>
      <c r="G11" s="124">
        <v>5.4148692519012922</v>
      </c>
      <c r="H11" s="124">
        <v>4.2935029960737214</v>
      </c>
      <c r="I11" s="124">
        <v>0.30360143658766114</v>
      </c>
    </row>
    <row r="12" spans="1:9" outlineLevel="1" x14ac:dyDescent="0.35">
      <c r="A12" s="119" t="s">
        <v>138</v>
      </c>
      <c r="B12" s="124">
        <v>2.3898731702530442</v>
      </c>
      <c r="C12" s="124"/>
      <c r="D12" s="124">
        <v>0.63382752574588153</v>
      </c>
      <c r="E12" s="124">
        <v>1.1345300079414717</v>
      </c>
      <c r="F12" s="124">
        <v>2.0164572482901342</v>
      </c>
      <c r="G12" s="124">
        <v>3.0468188446210962</v>
      </c>
      <c r="H12" s="124">
        <v>3.2154529943208643</v>
      </c>
      <c r="I12" s="124">
        <v>0.27962871964351133</v>
      </c>
    </row>
    <row r="13" spans="1:9" outlineLevel="1" x14ac:dyDescent="0.35">
      <c r="A13" s="119" t="s">
        <v>139</v>
      </c>
      <c r="B13" s="124">
        <v>3.1823258457028607</v>
      </c>
      <c r="C13" s="124"/>
      <c r="D13" s="124">
        <v>0.7942668564804457</v>
      </c>
      <c r="E13" s="124">
        <v>1.1857987259656775</v>
      </c>
      <c r="F13" s="124">
        <v>1.7929841216633284</v>
      </c>
      <c r="G13" s="124">
        <v>1.8585794640281902E-11</v>
      </c>
      <c r="H13" s="124">
        <v>3.0675219525763877</v>
      </c>
      <c r="I13" s="124">
        <v>0.49714845687954534</v>
      </c>
    </row>
    <row r="14" spans="1:9" outlineLevel="1" x14ac:dyDescent="0.35">
      <c r="A14" s="119" t="s">
        <v>140</v>
      </c>
      <c r="B14" s="124">
        <v>6.1387725691388599</v>
      </c>
      <c r="C14" s="124"/>
      <c r="D14" s="124">
        <v>0.85602968909624855</v>
      </c>
      <c r="E14" s="124">
        <v>1.23076635776266</v>
      </c>
      <c r="F14" s="124">
        <v>1.7848165233343642</v>
      </c>
      <c r="G14" s="124">
        <v>0.36150659426696596</v>
      </c>
      <c r="H14" s="124">
        <v>5.3083599856410393</v>
      </c>
      <c r="I14" s="124">
        <v>0.33675791048034426</v>
      </c>
    </row>
    <row r="15" spans="1:9" outlineLevel="1" x14ac:dyDescent="0.35">
      <c r="A15" s="119" t="s">
        <v>141</v>
      </c>
      <c r="B15" s="124">
        <v>3.4465480232049077</v>
      </c>
      <c r="C15" s="124"/>
      <c r="D15" s="124">
        <v>0.48069980038444204</v>
      </c>
      <c r="E15" s="124">
        <v>0.67227582931324315</v>
      </c>
      <c r="F15" s="124">
        <v>1.178166770231456</v>
      </c>
      <c r="G15" s="124">
        <v>5.2615586013334155E-4</v>
      </c>
      <c r="H15" s="124">
        <v>2.2830566431399308</v>
      </c>
      <c r="I15" s="124">
        <v>0.35959174305512992</v>
      </c>
    </row>
    <row r="16" spans="1:9" outlineLevel="1" x14ac:dyDescent="0.35"/>
    <row r="17" spans="1:9" x14ac:dyDescent="0.35">
      <c r="B17" s="120"/>
      <c r="C17" s="120"/>
      <c r="D17" s="120"/>
      <c r="E17" s="120"/>
      <c r="F17" s="120"/>
      <c r="G17" s="120"/>
      <c r="H17" s="120"/>
      <c r="I17" s="120"/>
    </row>
    <row r="18" spans="1:9" x14ac:dyDescent="0.35">
      <c r="A18" s="123" t="s">
        <v>142</v>
      </c>
      <c r="B18" s="120" t="s">
        <v>126</v>
      </c>
      <c r="C18" s="120" t="s">
        <v>127</v>
      </c>
      <c r="D18" s="120" t="s">
        <v>128</v>
      </c>
      <c r="E18" s="120" t="s">
        <v>129</v>
      </c>
      <c r="F18" s="120" t="s">
        <v>130</v>
      </c>
      <c r="G18" s="120" t="s">
        <v>131</v>
      </c>
      <c r="H18" s="120" t="s">
        <v>132</v>
      </c>
      <c r="I18" s="120" t="s">
        <v>133</v>
      </c>
    </row>
    <row r="19" spans="1:9" outlineLevel="1" x14ac:dyDescent="0.35">
      <c r="B19" s="120" t="s">
        <v>134</v>
      </c>
      <c r="C19" s="120" t="s">
        <v>134</v>
      </c>
      <c r="D19" s="120" t="s">
        <v>134</v>
      </c>
      <c r="E19" s="120" t="s">
        <v>134</v>
      </c>
      <c r="F19" s="120" t="s">
        <v>134</v>
      </c>
      <c r="G19" s="120" t="s">
        <v>134</v>
      </c>
      <c r="H19" s="120" t="s">
        <v>134</v>
      </c>
      <c r="I19" s="120" t="s">
        <v>134</v>
      </c>
    </row>
    <row r="20" spans="1:9" outlineLevel="1" x14ac:dyDescent="0.35">
      <c r="A20" s="119" t="s">
        <v>135</v>
      </c>
      <c r="B20" s="124">
        <v>4.0292240996758935</v>
      </c>
      <c r="C20" s="124">
        <v>9.3064281002266522</v>
      </c>
      <c r="D20" s="124">
        <v>4.3066499124517552</v>
      </c>
      <c r="E20" s="124">
        <v>4.9814143896580338</v>
      </c>
      <c r="F20" s="124">
        <v>7.1903018354115602</v>
      </c>
      <c r="G20" s="124">
        <v>0.95754100058375413</v>
      </c>
      <c r="H20" s="124">
        <v>3.3531733517715137</v>
      </c>
      <c r="I20" s="124">
        <v>0.19157547105621162</v>
      </c>
    </row>
    <row r="21" spans="1:9" outlineLevel="1" x14ac:dyDescent="0.35">
      <c r="A21" s="119" t="s">
        <v>136</v>
      </c>
      <c r="B21" s="124">
        <v>1.5240430447836608</v>
      </c>
      <c r="C21" s="124"/>
      <c r="D21" s="124">
        <v>0.40223339964179722</v>
      </c>
      <c r="E21" s="124">
        <v>0.81052052498152871</v>
      </c>
      <c r="F21" s="124">
        <v>1.0673046330297096</v>
      </c>
      <c r="G21" s="124">
        <v>2.6500034348031734</v>
      </c>
      <c r="H21" s="124">
        <v>0.91955042231278872</v>
      </c>
      <c r="I21" s="124">
        <v>0.11325359003965547</v>
      </c>
    </row>
    <row r="22" spans="1:9" outlineLevel="1" x14ac:dyDescent="0.35">
      <c r="A22" s="119" t="s">
        <v>137</v>
      </c>
      <c r="B22" s="124">
        <v>7.1315568857441995</v>
      </c>
      <c r="C22" s="124"/>
      <c r="D22" s="124">
        <v>0.73787645773616584</v>
      </c>
      <c r="E22" s="124">
        <v>5.0025180418264492</v>
      </c>
      <c r="F22" s="124">
        <v>0.7279958166591245</v>
      </c>
      <c r="G22" s="124">
        <v>4.4258933886059042</v>
      </c>
      <c r="H22" s="124">
        <v>2.0703352835765498</v>
      </c>
      <c r="I22" s="124">
        <v>0.24425017529042334</v>
      </c>
    </row>
    <row r="23" spans="1:9" outlineLevel="1" x14ac:dyDescent="0.35">
      <c r="A23" s="119" t="s">
        <v>138</v>
      </c>
      <c r="B23" s="124">
        <v>2.0194658642186285</v>
      </c>
      <c r="C23" s="124"/>
      <c r="D23" s="124">
        <v>0.54245579234804819</v>
      </c>
      <c r="E23" s="124">
        <v>0.70673358153448618</v>
      </c>
      <c r="F23" s="124">
        <v>1.6598031684241155</v>
      </c>
      <c r="G23" s="124">
        <v>2.3370100627548531</v>
      </c>
      <c r="H23" s="124">
        <v>1.8291359505567066</v>
      </c>
      <c r="I23" s="124">
        <v>0.22634821146990317</v>
      </c>
    </row>
    <row r="24" spans="1:9" outlineLevel="1" x14ac:dyDescent="0.35">
      <c r="A24" s="119" t="s">
        <v>139</v>
      </c>
      <c r="B24" s="124">
        <v>2.2533828500100013</v>
      </c>
      <c r="C24" s="124"/>
      <c r="D24" s="124">
        <v>0.68623212808832401</v>
      </c>
      <c r="E24" s="124">
        <v>0.57731198178977494</v>
      </c>
      <c r="F24" s="124">
        <v>1.2869359655137949</v>
      </c>
      <c r="G24" s="124">
        <v>1.8585794640281902E-11</v>
      </c>
      <c r="H24" s="124">
        <v>2.0771389370083235</v>
      </c>
      <c r="I24" s="124">
        <v>0.33132462096395476</v>
      </c>
    </row>
    <row r="25" spans="1:9" outlineLevel="1" x14ac:dyDescent="0.35">
      <c r="A25" s="119" t="s">
        <v>140</v>
      </c>
      <c r="B25" s="124">
        <v>2.2872701647775373</v>
      </c>
      <c r="C25" s="124"/>
      <c r="D25" s="124">
        <v>0.76621920738037219</v>
      </c>
      <c r="E25" s="124">
        <v>0.64649382936132915</v>
      </c>
      <c r="F25" s="124">
        <v>1.5730147645876291</v>
      </c>
      <c r="G25" s="124">
        <v>0.24198373225844538</v>
      </c>
      <c r="H25" s="124">
        <v>1.9674269538163331</v>
      </c>
      <c r="I25" s="124">
        <v>0.25484678896350293</v>
      </c>
    </row>
    <row r="26" spans="1:9" outlineLevel="1" x14ac:dyDescent="0.35">
      <c r="A26" s="119" t="s">
        <v>141</v>
      </c>
      <c r="B26" s="124">
        <v>2.1826000269867354</v>
      </c>
      <c r="C26" s="124"/>
      <c r="D26" s="124">
        <v>0.42117842620939439</v>
      </c>
      <c r="E26" s="124">
        <v>0.40880539798569987</v>
      </c>
      <c r="F26" s="124">
        <v>0.98320022931806728</v>
      </c>
      <c r="G26" s="124">
        <v>4.8623591587030701E-4</v>
      </c>
      <c r="H26" s="124">
        <v>2.0423395308862453</v>
      </c>
      <c r="I26" s="124">
        <v>0.28238070208712052</v>
      </c>
    </row>
    <row r="27" spans="1:9" outlineLevel="1" x14ac:dyDescent="0.35"/>
    <row r="28" spans="1:9" x14ac:dyDescent="0.35">
      <c r="B28" s="120"/>
      <c r="C28" s="120"/>
      <c r="D28" s="120"/>
      <c r="E28" s="120"/>
      <c r="F28" s="120"/>
      <c r="G28" s="120"/>
    </row>
    <row r="29" spans="1:9" x14ac:dyDescent="0.35">
      <c r="A29" s="123" t="s">
        <v>143</v>
      </c>
      <c r="B29" s="120" t="s">
        <v>126</v>
      </c>
      <c r="C29" s="120" t="s">
        <v>127</v>
      </c>
      <c r="D29" s="120" t="s">
        <v>128</v>
      </c>
      <c r="E29" s="120" t="s">
        <v>129</v>
      </c>
      <c r="F29" s="120" t="s">
        <v>130</v>
      </c>
      <c r="G29" s="120" t="s">
        <v>131</v>
      </c>
      <c r="H29" s="120" t="s">
        <v>132</v>
      </c>
      <c r="I29" s="120" t="s">
        <v>133</v>
      </c>
    </row>
    <row r="30" spans="1:9" outlineLevel="1" x14ac:dyDescent="0.35">
      <c r="B30" s="120" t="s">
        <v>134</v>
      </c>
      <c r="C30" s="120" t="s">
        <v>134</v>
      </c>
      <c r="D30" s="120" t="s">
        <v>134</v>
      </c>
      <c r="E30" s="120" t="s">
        <v>134</v>
      </c>
      <c r="F30" s="120" t="s">
        <v>134</v>
      </c>
      <c r="G30" s="120" t="s">
        <v>134</v>
      </c>
      <c r="H30" s="120" t="s">
        <v>134</v>
      </c>
      <c r="I30" s="120" t="s">
        <v>134</v>
      </c>
    </row>
    <row r="31" spans="1:9" outlineLevel="1" x14ac:dyDescent="0.35">
      <c r="A31" s="119" t="s">
        <v>135</v>
      </c>
      <c r="B31" s="124">
        <v>5.5580585200884531</v>
      </c>
      <c r="C31" s="124">
        <v>13.26061999566193</v>
      </c>
      <c r="D31" s="124">
        <v>6.5589093768770415</v>
      </c>
      <c r="E31" s="124">
        <v>18.786902575847567</v>
      </c>
      <c r="F31" s="124">
        <v>8.4322737322036012</v>
      </c>
      <c r="G31" s="124">
        <v>1.1758394650822173</v>
      </c>
      <c r="H31" s="124">
        <v>5.3538137819454183</v>
      </c>
      <c r="I31" s="124">
        <v>0.31190550638129871</v>
      </c>
    </row>
    <row r="32" spans="1:9" outlineLevel="1" x14ac:dyDescent="0.35">
      <c r="A32" s="119" t="s">
        <v>136</v>
      </c>
      <c r="B32" s="124">
        <v>2.1262849525924059</v>
      </c>
      <c r="C32" s="124"/>
      <c r="D32" s="124">
        <v>0.5168527009480971</v>
      </c>
      <c r="E32" s="124">
        <v>3.2059529911613298</v>
      </c>
      <c r="F32" s="124">
        <v>1.3241631196059687</v>
      </c>
      <c r="G32" s="124">
        <v>4.4431812425329786</v>
      </c>
      <c r="H32" s="124">
        <v>4.0930063446115437</v>
      </c>
      <c r="I32" s="124">
        <v>0.18394128059568418</v>
      </c>
    </row>
    <row r="33" spans="1:9" outlineLevel="1" x14ac:dyDescent="0.35">
      <c r="A33" s="119" t="s">
        <v>137</v>
      </c>
      <c r="B33" s="124">
        <v>9.4593619576601018</v>
      </c>
      <c r="C33" s="124"/>
      <c r="D33" s="124">
        <v>1.2949010967397383</v>
      </c>
      <c r="E33" s="124">
        <v>22.121414201318888</v>
      </c>
      <c r="F33" s="124">
        <v>1.159252797734865</v>
      </c>
      <c r="G33" s="124">
        <v>6.5051174371514238</v>
      </c>
      <c r="H33" s="124">
        <v>7.6174877292064451</v>
      </c>
      <c r="I33" s="124">
        <v>0.38599177945510005</v>
      </c>
    </row>
    <row r="34" spans="1:9" outlineLevel="1" x14ac:dyDescent="0.35">
      <c r="A34" s="119" t="s">
        <v>138</v>
      </c>
      <c r="B34" s="124">
        <v>3.3566688679666394</v>
      </c>
      <c r="C34" s="124"/>
      <c r="D34" s="124">
        <v>0.71372923858960946</v>
      </c>
      <c r="E34" s="124">
        <v>3.0167021798502733</v>
      </c>
      <c r="F34" s="124">
        <v>2.3535681672673268</v>
      </c>
      <c r="G34" s="124">
        <v>3.6441326967789789</v>
      </c>
      <c r="H34" s="124">
        <v>5.7825736146771369</v>
      </c>
      <c r="I34" s="124">
        <v>0.38559735020682462</v>
      </c>
    </row>
    <row r="35" spans="1:9" outlineLevel="1" x14ac:dyDescent="0.35">
      <c r="A35" s="119" t="s">
        <v>139</v>
      </c>
      <c r="B35" s="124">
        <v>3.8385921899015663</v>
      </c>
      <c r="C35" s="124"/>
      <c r="D35" s="124">
        <v>0.96448856533462624</v>
      </c>
      <c r="E35" s="124">
        <v>1.8227321426798571</v>
      </c>
      <c r="F35" s="124">
        <v>2.0016910677214943</v>
      </c>
      <c r="G35" s="124">
        <v>1.8585794640281902E-11</v>
      </c>
      <c r="H35" s="124">
        <v>4.2028864679333724</v>
      </c>
      <c r="I35" s="124">
        <v>0.58090324335403365</v>
      </c>
    </row>
    <row r="36" spans="1:9" outlineLevel="1" x14ac:dyDescent="0.35">
      <c r="A36" s="119" t="s">
        <v>140</v>
      </c>
      <c r="B36" s="124">
        <v>6.4074251071650385</v>
      </c>
      <c r="C36" s="124"/>
      <c r="D36" s="124">
        <v>1.0114884731038405</v>
      </c>
      <c r="E36" s="124">
        <v>2.0873174214667776</v>
      </c>
      <c r="F36" s="124">
        <v>2.2297814299683463</v>
      </c>
      <c r="G36" s="124">
        <v>0.40023091338689659</v>
      </c>
      <c r="H36" s="124">
        <v>9.5657595971686202</v>
      </c>
      <c r="I36" s="124">
        <v>0.46269649239985411</v>
      </c>
    </row>
    <row r="37" spans="1:9" outlineLevel="1" x14ac:dyDescent="0.35">
      <c r="A37" s="119" t="s">
        <v>141</v>
      </c>
      <c r="B37" s="124">
        <v>3.7164626263264409</v>
      </c>
      <c r="C37" s="124"/>
      <c r="D37" s="124">
        <v>0.54817261381984039</v>
      </c>
      <c r="E37" s="124">
        <v>0.88181197961980251</v>
      </c>
      <c r="F37" s="124">
        <v>1.4194943045800108</v>
      </c>
      <c r="G37" s="124">
        <v>6.0115395442342679E-4</v>
      </c>
      <c r="H37" s="124">
        <v>3.2844190987266302</v>
      </c>
      <c r="I37" s="124">
        <v>0.47987957180316326</v>
      </c>
    </row>
    <row r="38" spans="1:9" outlineLevel="1" x14ac:dyDescent="0.35"/>
    <row r="39" spans="1:9" x14ac:dyDescent="0.35">
      <c r="B39" s="120"/>
      <c r="C39" s="120"/>
      <c r="D39" s="120"/>
      <c r="E39" s="120"/>
      <c r="F39" s="120"/>
      <c r="G39" s="120"/>
      <c r="H39" s="120"/>
      <c r="I39" s="120"/>
    </row>
    <row r="40" spans="1:9" x14ac:dyDescent="0.35">
      <c r="A40" s="123" t="s">
        <v>144</v>
      </c>
      <c r="B40" s="120" t="s">
        <v>126</v>
      </c>
      <c r="C40" s="120" t="s">
        <v>127</v>
      </c>
      <c r="D40" s="120" t="s">
        <v>128</v>
      </c>
      <c r="E40" s="120" t="s">
        <v>129</v>
      </c>
      <c r="F40" s="120" t="s">
        <v>130</v>
      </c>
      <c r="G40" s="120" t="s">
        <v>131</v>
      </c>
      <c r="H40" s="120" t="s">
        <v>132</v>
      </c>
      <c r="I40" s="120" t="s">
        <v>133</v>
      </c>
    </row>
    <row r="41" spans="1:9" outlineLevel="1" x14ac:dyDescent="0.35">
      <c r="B41" s="120" t="s">
        <v>134</v>
      </c>
      <c r="C41" s="120" t="s">
        <v>134</v>
      </c>
      <c r="D41" s="120" t="s">
        <v>134</v>
      </c>
      <c r="E41" s="120" t="s">
        <v>134</v>
      </c>
      <c r="F41" s="120" t="s">
        <v>134</v>
      </c>
      <c r="G41" s="120" t="s">
        <v>134</v>
      </c>
      <c r="H41" s="120" t="s">
        <v>134</v>
      </c>
      <c r="I41" s="120" t="s">
        <v>134</v>
      </c>
    </row>
    <row r="42" spans="1:9" outlineLevel="1" x14ac:dyDescent="0.35">
      <c r="A42" s="119" t="s">
        <v>135</v>
      </c>
      <c r="B42" s="125">
        <f t="shared" ref="B42:I42" si="0">$B$3*B9+$B$4*B20+$B$5*B31</f>
        <v>4.9080626842861523</v>
      </c>
      <c r="C42" s="125">
        <f t="shared" si="0"/>
        <v>11.682528391050884</v>
      </c>
      <c r="D42" s="125">
        <f t="shared" si="0"/>
        <v>5.5924726566896368</v>
      </c>
      <c r="E42" s="125">
        <f t="shared" si="0"/>
        <v>12.744702079093955</v>
      </c>
      <c r="F42" s="125">
        <f t="shared" si="0"/>
        <v>7.947063751116012</v>
      </c>
      <c r="G42" s="125">
        <f t="shared" si="0"/>
        <v>1.092967445200532</v>
      </c>
      <c r="H42" s="125">
        <f t="shared" si="0"/>
        <v>4.6112763235392515</v>
      </c>
      <c r="I42" s="125">
        <f t="shared" si="0"/>
        <v>0.2593799643834378</v>
      </c>
    </row>
    <row r="43" spans="1:9" outlineLevel="1" x14ac:dyDescent="0.35">
      <c r="A43" s="119" t="s">
        <v>136</v>
      </c>
      <c r="B43" s="125">
        <f t="shared" ref="B43:B48" si="1">$B$3*B10+$B$4*B21+$B$5*B32</f>
        <v>1.8479247655824524</v>
      </c>
      <c r="C43" s="125"/>
      <c r="D43" s="125">
        <f t="shared" ref="D43:I48" si="2">$B$3*D10+$B$4*D21+$B$5*D32</f>
        <v>0.48109584768880531</v>
      </c>
      <c r="E43" s="125">
        <f t="shared" si="2"/>
        <v>1.9413250631466723</v>
      </c>
      <c r="F43" s="125">
        <f t="shared" si="2"/>
        <v>1.2169267881979535</v>
      </c>
      <c r="G43" s="125">
        <f t="shared" si="2"/>
        <v>3.8762832443359621</v>
      </c>
      <c r="H43" s="125">
        <f t="shared" si="2"/>
        <v>2.7342701857387954</v>
      </c>
      <c r="I43" s="125">
        <f t="shared" si="2"/>
        <v>0.153070550028408</v>
      </c>
    </row>
    <row r="44" spans="1:9" outlineLevel="1" x14ac:dyDescent="0.35">
      <c r="A44" s="119" t="s">
        <v>137</v>
      </c>
      <c r="B44" s="125">
        <f t="shared" si="1"/>
        <v>8.1485095881798131</v>
      </c>
      <c r="C44" s="125"/>
      <c r="D44" s="125">
        <f t="shared" si="2"/>
        <v>1.0634474465624286</v>
      </c>
      <c r="E44" s="125">
        <f t="shared" si="2"/>
        <v>14.3868457603125</v>
      </c>
      <c r="F44" s="125">
        <f t="shared" si="2"/>
        <v>0.96512602933061387</v>
      </c>
      <c r="G44" s="125">
        <f t="shared" si="2"/>
        <v>5.643046121146793</v>
      </c>
      <c r="H44" s="125">
        <f t="shared" si="2"/>
        <v>5.0683816447638215</v>
      </c>
      <c r="I44" s="125">
        <f t="shared" si="2"/>
        <v>0.322383413318169</v>
      </c>
    </row>
    <row r="45" spans="1:9" outlineLevel="1" x14ac:dyDescent="0.35">
      <c r="A45" s="119" t="s">
        <v>138</v>
      </c>
      <c r="B45" s="125">
        <f t="shared" si="1"/>
        <v>2.6428711489636809</v>
      </c>
      <c r="C45" s="125"/>
      <c r="D45" s="125">
        <f t="shared" si="2"/>
        <v>0.6486608662592166</v>
      </c>
      <c r="E45" s="125">
        <f t="shared" si="2"/>
        <v>1.6564020168734137</v>
      </c>
      <c r="F45" s="125">
        <f t="shared" si="2"/>
        <v>2.0819251159966901</v>
      </c>
      <c r="G45" s="125">
        <f t="shared" si="2"/>
        <v>3.1550321220818365</v>
      </c>
      <c r="H45" s="125">
        <f t="shared" si="2"/>
        <v>3.8469574760513305</v>
      </c>
      <c r="I45" s="125">
        <f t="shared" si="2"/>
        <v>0.30609125799514447</v>
      </c>
    </row>
    <row r="46" spans="1:9" outlineLevel="1" x14ac:dyDescent="0.35">
      <c r="A46" s="119" t="s">
        <v>139</v>
      </c>
      <c r="B46" s="125">
        <f t="shared" si="1"/>
        <v>3.2863114493931862</v>
      </c>
      <c r="C46" s="125"/>
      <c r="D46" s="125">
        <f t="shared" si="2"/>
        <v>0.83452989629748764</v>
      </c>
      <c r="E46" s="125">
        <f t="shared" si="2"/>
        <v>1.3160300765623412</v>
      </c>
      <c r="F46" s="125">
        <f t="shared" si="2"/>
        <v>1.8049913898658247</v>
      </c>
      <c r="G46" s="125">
        <f t="shared" si="2"/>
        <v>1.8585794640281902E-11</v>
      </c>
      <c r="H46" s="125">
        <f t="shared" si="2"/>
        <v>3.3090930056266767</v>
      </c>
      <c r="I46" s="125">
        <f t="shared" si="2"/>
        <v>0.50569250923033282</v>
      </c>
    </row>
    <row r="47" spans="1:9" outlineLevel="1" x14ac:dyDescent="0.35">
      <c r="A47" s="119" t="s">
        <v>140</v>
      </c>
      <c r="B47" s="125">
        <f t="shared" si="1"/>
        <v>5.8342180901105811</v>
      </c>
      <c r="C47" s="125"/>
      <c r="D47" s="125">
        <f t="shared" si="2"/>
        <v>0.89368627612693841</v>
      </c>
      <c r="E47" s="125">
        <f t="shared" si="2"/>
        <v>1.429304424033762</v>
      </c>
      <c r="F47" s="125">
        <f t="shared" si="2"/>
        <v>1.8971258194498852</v>
      </c>
      <c r="G47" s="125">
        <f t="shared" si="2"/>
        <v>0.36117160380209307</v>
      </c>
      <c r="H47" s="125">
        <f t="shared" si="2"/>
        <v>6.2514865659168422</v>
      </c>
      <c r="I47" s="125">
        <f t="shared" si="2"/>
        <v>0.36634837290451305</v>
      </c>
    </row>
    <row r="48" spans="1:9" outlineLevel="1" x14ac:dyDescent="0.35">
      <c r="A48" s="119" t="s">
        <v>141</v>
      </c>
      <c r="B48" s="125">
        <f t="shared" si="1"/>
        <v>3.4011276045195502</v>
      </c>
      <c r="C48" s="125"/>
      <c r="D48" s="125">
        <f t="shared" si="2"/>
        <v>0.49498950699755673</v>
      </c>
      <c r="E48" s="125">
        <f t="shared" si="2"/>
        <v>0.70878963127245664</v>
      </c>
      <c r="F48" s="125">
        <f t="shared" si="2"/>
        <v>1.2310683764446835</v>
      </c>
      <c r="G48" s="125">
        <f t="shared" si="2"/>
        <v>5.446632939940636E-4</v>
      </c>
      <c r="H48" s="125">
        <f t="shared" si="2"/>
        <v>2.5593936685905723</v>
      </c>
      <c r="I48" s="125">
        <f t="shared" si="2"/>
        <v>0.387956987582739</v>
      </c>
    </row>
    <row r="49" spans="1:12" outlineLevel="1" x14ac:dyDescent="0.35">
      <c r="B49" s="120"/>
      <c r="C49" s="120"/>
      <c r="D49" s="120"/>
      <c r="E49" s="120"/>
      <c r="F49" s="120"/>
      <c r="G49" s="120"/>
      <c r="H49" s="120"/>
      <c r="I49" s="120"/>
    </row>
    <row r="50" spans="1:12" x14ac:dyDescent="0.35">
      <c r="B50" s="120"/>
      <c r="C50" s="120"/>
      <c r="D50" s="120"/>
      <c r="E50" s="120"/>
      <c r="F50" s="120"/>
      <c r="G50" s="120"/>
      <c r="H50" s="120"/>
      <c r="I50" s="120"/>
    </row>
    <row r="51" spans="1:12" ht="13.9" thickBot="1" x14ac:dyDescent="0.4">
      <c r="B51" s="120"/>
      <c r="C51" s="120"/>
      <c r="D51" s="120"/>
      <c r="E51" s="120"/>
      <c r="F51" s="120"/>
      <c r="G51" s="120"/>
      <c r="H51" s="120"/>
      <c r="I51" s="120"/>
    </row>
    <row r="52" spans="1:12" ht="18" customHeight="1" thickTop="1" thickBot="1" x14ac:dyDescent="0.4">
      <c r="B52" s="157" t="s">
        <v>7</v>
      </c>
      <c r="C52" s="158" t="s">
        <v>8</v>
      </c>
      <c r="D52" s="158" t="s">
        <v>8</v>
      </c>
      <c r="E52" s="158" t="s">
        <v>8</v>
      </c>
      <c r="F52" s="158" t="s">
        <v>8</v>
      </c>
      <c r="G52" s="158" t="s">
        <v>8</v>
      </c>
      <c r="H52" s="158" t="s">
        <v>7</v>
      </c>
      <c r="I52" s="159" t="s">
        <v>7</v>
      </c>
    </row>
    <row r="53" spans="1:12" ht="18" customHeight="1" thickTop="1" thickBot="1" x14ac:dyDescent="0.4">
      <c r="B53" s="160" t="s">
        <v>0</v>
      </c>
      <c r="C53" s="161" t="s">
        <v>1</v>
      </c>
      <c r="D53" s="161" t="s">
        <v>9</v>
      </c>
      <c r="E53" s="161" t="s">
        <v>12</v>
      </c>
      <c r="F53" s="161" t="s">
        <v>13</v>
      </c>
      <c r="G53" s="161" t="s">
        <v>14</v>
      </c>
      <c r="H53" s="161" t="s">
        <v>2</v>
      </c>
      <c r="I53" s="162" t="s">
        <v>3</v>
      </c>
    </row>
    <row r="54" spans="1:12" ht="18" hidden="1" customHeight="1" thickTop="1" x14ac:dyDescent="0.35">
      <c r="A54" s="169" t="s">
        <v>151</v>
      </c>
      <c r="B54" s="170">
        <f>B58+B61</f>
        <v>62.761035057261886</v>
      </c>
      <c r="C54" s="171">
        <f t="shared" ref="C54:I54" si="3">C58+C61</f>
        <v>19.292614213205322</v>
      </c>
      <c r="D54" s="171">
        <f t="shared" si="3"/>
        <v>38.491880312965293</v>
      </c>
      <c r="E54" s="171">
        <f t="shared" si="3"/>
        <v>18.742588510816006</v>
      </c>
      <c r="F54" s="171">
        <f t="shared" si="3"/>
        <v>14.46004595928683</v>
      </c>
      <c r="G54" s="171">
        <f t="shared" si="3"/>
        <v>21.11589851860937</v>
      </c>
      <c r="H54" s="171">
        <f t="shared" si="3"/>
        <v>12.384864965189243</v>
      </c>
      <c r="I54" s="172">
        <f t="shared" si="3"/>
        <v>12.384864965189243</v>
      </c>
    </row>
    <row r="55" spans="1:12" ht="18" customHeight="1" outlineLevel="1" thickTop="1" x14ac:dyDescent="0.35">
      <c r="A55" s="179" t="s">
        <v>177</v>
      </c>
      <c r="B55" s="173">
        <v>11.279640550326585</v>
      </c>
      <c r="C55" s="174">
        <v>3.6060000000000003</v>
      </c>
      <c r="D55" s="174">
        <v>3.7959999999999994</v>
      </c>
      <c r="E55" s="174">
        <v>3.34</v>
      </c>
      <c r="F55" s="174">
        <v>3.34</v>
      </c>
      <c r="G55" s="174">
        <v>3.34</v>
      </c>
      <c r="H55" s="174">
        <v>3.3639999999999999</v>
      </c>
      <c r="I55" s="175">
        <v>3.3639999999999999</v>
      </c>
    </row>
    <row r="56" spans="1:12" ht="18" customHeight="1" outlineLevel="1" x14ac:dyDescent="0.35">
      <c r="A56" s="180" t="s">
        <v>178</v>
      </c>
      <c r="B56" s="176">
        <f>0.6</f>
        <v>0.6</v>
      </c>
      <c r="C56" s="177">
        <f t="shared" ref="C56:I56" si="4">0.6</f>
        <v>0.6</v>
      </c>
      <c r="D56" s="177">
        <f t="shared" si="4"/>
        <v>0.6</v>
      </c>
      <c r="E56" s="177">
        <f t="shared" si="4"/>
        <v>0.6</v>
      </c>
      <c r="F56" s="177">
        <f t="shared" si="4"/>
        <v>0.6</v>
      </c>
      <c r="G56" s="177">
        <f t="shared" si="4"/>
        <v>0.6</v>
      </c>
      <c r="H56" s="177">
        <f t="shared" si="4"/>
        <v>0.6</v>
      </c>
      <c r="I56" s="178">
        <f t="shared" si="4"/>
        <v>0.6</v>
      </c>
    </row>
    <row r="57" spans="1:12" ht="18" customHeight="1" outlineLevel="1" x14ac:dyDescent="0.35">
      <c r="A57" s="180" t="s">
        <v>179</v>
      </c>
      <c r="B57" s="176">
        <f>SUM(B9:E9)</f>
        <v>32.360078367294832</v>
      </c>
      <c r="C57" s="177">
        <f>SUM(B10:E10)</f>
        <v>3.7365646434444688</v>
      </c>
      <c r="D57" s="177">
        <f>SUM(B11:E11)</f>
        <v>20.748174133014071</v>
      </c>
      <c r="E57" s="177">
        <f>SUM(B12:E12)</f>
        <v>4.1582307039403972</v>
      </c>
      <c r="F57" s="177">
        <f>SUM(B13:E13)</f>
        <v>5.1623914281489842</v>
      </c>
      <c r="G57" s="177">
        <f>SUM(B14:E14)</f>
        <v>8.2255686159977692</v>
      </c>
      <c r="H57" s="177">
        <f>SUM(B15:E15)</f>
        <v>4.5995236529025929</v>
      </c>
      <c r="I57" s="178">
        <f>SUM(B15:E15)</f>
        <v>4.5995236529025929</v>
      </c>
    </row>
    <row r="58" spans="1:12" ht="18" customHeight="1" outlineLevel="1" x14ac:dyDescent="0.35">
      <c r="A58" s="181" t="s">
        <v>182</v>
      </c>
      <c r="B58" s="165">
        <f>SUM(B55:B57)</f>
        <v>44.239718917621417</v>
      </c>
      <c r="C58" s="163">
        <f t="shared" ref="C58:I58" si="5">SUM(C55:C57)</f>
        <v>7.9425646434444692</v>
      </c>
      <c r="D58" s="163">
        <f t="shared" si="5"/>
        <v>25.144174133014069</v>
      </c>
      <c r="E58" s="163">
        <f t="shared" si="5"/>
        <v>8.0982307039403967</v>
      </c>
      <c r="F58" s="163">
        <f t="shared" si="5"/>
        <v>9.1023914281489837</v>
      </c>
      <c r="G58" s="163">
        <f t="shared" si="5"/>
        <v>12.165568615997769</v>
      </c>
      <c r="H58" s="163">
        <f t="shared" si="5"/>
        <v>8.5635236529025924</v>
      </c>
      <c r="I58" s="164">
        <f t="shared" si="5"/>
        <v>8.5635236529025924</v>
      </c>
      <c r="K58" s="128"/>
      <c r="L58" s="128"/>
    </row>
    <row r="59" spans="1:12" ht="18" customHeight="1" outlineLevel="1" x14ac:dyDescent="0.35">
      <c r="A59" s="182" t="s">
        <v>181</v>
      </c>
      <c r="B59" s="176">
        <v>4.922518518518519</v>
      </c>
      <c r="C59" s="177">
        <v>3.8629629629629627</v>
      </c>
      <c r="D59" s="177">
        <v>2.4281481481481482</v>
      </c>
      <c r="E59" s="177">
        <v>2.0859999999999999</v>
      </c>
      <c r="F59" s="177">
        <v>0</v>
      </c>
      <c r="G59" s="177">
        <v>1.1588888888888891</v>
      </c>
      <c r="H59" s="177">
        <v>0</v>
      </c>
      <c r="I59" s="178">
        <v>0</v>
      </c>
      <c r="K59" s="128"/>
      <c r="L59" s="128"/>
    </row>
    <row r="60" spans="1:12" ht="18" customHeight="1" outlineLevel="1" x14ac:dyDescent="0.35">
      <c r="A60" s="182" t="s">
        <v>180</v>
      </c>
      <c r="B60" s="176">
        <f>SUM(F9:I9)</f>
        <v>13.59879762112195</v>
      </c>
      <c r="C60" s="177">
        <f>SUM(F10:I10)</f>
        <v>7.4870866067978907</v>
      </c>
      <c r="D60" s="177">
        <f>SUM(F11:I11)</f>
        <v>10.919558031803078</v>
      </c>
      <c r="E60" s="177">
        <f>SUM(F12:I12)</f>
        <v>8.5583578068756072</v>
      </c>
      <c r="F60" s="177">
        <f>SUM(F13:I13)</f>
        <v>5.3576545311378467</v>
      </c>
      <c r="G60" s="177">
        <f>SUM(F14:I14)</f>
        <v>7.7914410137227135</v>
      </c>
      <c r="H60" s="177">
        <f>SUM(F15:I15)</f>
        <v>3.8213413122866497</v>
      </c>
      <c r="I60" s="178">
        <f>SUM(F15:I15)</f>
        <v>3.8213413122866497</v>
      </c>
      <c r="K60" s="128"/>
      <c r="L60" s="128"/>
    </row>
    <row r="61" spans="1:12" ht="18" customHeight="1" outlineLevel="1" thickBot="1" x14ac:dyDescent="0.4">
      <c r="A61" s="183" t="s">
        <v>183</v>
      </c>
      <c r="B61" s="166">
        <f>B59+B60</f>
        <v>18.521316139640469</v>
      </c>
      <c r="C61" s="167">
        <f t="shared" ref="C61" si="6">C59+C60</f>
        <v>11.350049569760854</v>
      </c>
      <c r="D61" s="167">
        <f t="shared" ref="D61" si="7">D59+D60</f>
        <v>13.347706179951226</v>
      </c>
      <c r="E61" s="167">
        <f t="shared" ref="E61" si="8">E59+E60</f>
        <v>10.644357806875608</v>
      </c>
      <c r="F61" s="167">
        <f t="shared" ref="F61" si="9">F59+F60</f>
        <v>5.3576545311378467</v>
      </c>
      <c r="G61" s="167">
        <f t="shared" ref="G61" si="10">G59+G60</f>
        <v>8.9503299026116032</v>
      </c>
      <c r="H61" s="167">
        <f t="shared" ref="H61" si="11">H59+H60</f>
        <v>3.8213413122866497</v>
      </c>
      <c r="I61" s="168">
        <f t="shared" ref="I61" si="12">I59+I60</f>
        <v>3.8213413122866497</v>
      </c>
      <c r="K61" s="128"/>
      <c r="L61" s="128"/>
    </row>
    <row r="62" spans="1:12" ht="18" customHeight="1" thickTop="1" x14ac:dyDescent="0.35">
      <c r="B62" s="120"/>
      <c r="C62" s="120"/>
      <c r="D62" s="120"/>
      <c r="E62" s="120"/>
      <c r="F62" s="120"/>
      <c r="G62" s="120"/>
      <c r="H62" s="120"/>
      <c r="I62" s="120"/>
    </row>
    <row r="63" spans="1:12" ht="18" customHeight="1" x14ac:dyDescent="0.35">
      <c r="A63" s="126" t="s">
        <v>152</v>
      </c>
      <c r="B63" s="130">
        <f>B67+B70</f>
        <v>76.662764451980394</v>
      </c>
      <c r="C63" s="131">
        <f t="shared" ref="C63:I63" si="13">C67+C70</f>
        <v>24.046345595010969</v>
      </c>
      <c r="D63" s="131">
        <f t="shared" si="13"/>
        <v>55.401675147414707</v>
      </c>
      <c r="E63" s="131">
        <f t="shared" si="13"/>
        <v>25.318972115336791</v>
      </c>
      <c r="F63" s="131">
        <f t="shared" si="13"/>
        <v>17.391293676943537</v>
      </c>
      <c r="G63" s="131">
        <f t="shared" si="13"/>
        <v>27.303588323548261</v>
      </c>
      <c r="H63" s="131">
        <f t="shared" si="13"/>
        <v>14.330841348830312</v>
      </c>
      <c r="I63" s="132">
        <f t="shared" si="13"/>
        <v>14.330841348830312</v>
      </c>
    </row>
    <row r="64" spans="1:12" ht="18" customHeight="1" outlineLevel="1" x14ac:dyDescent="0.35">
      <c r="A64" s="127" t="s">
        <v>148</v>
      </c>
      <c r="B64" s="113">
        <v>11.701922979374343</v>
      </c>
      <c r="C64" s="113">
        <v>3.69</v>
      </c>
      <c r="D64" s="113">
        <v>3.83</v>
      </c>
      <c r="E64" s="113">
        <v>3.38</v>
      </c>
      <c r="F64" s="113">
        <v>3.38</v>
      </c>
      <c r="G64" s="113">
        <v>3.38</v>
      </c>
      <c r="H64" s="113">
        <v>3.4</v>
      </c>
      <c r="I64" s="114">
        <v>3.4</v>
      </c>
    </row>
    <row r="65" spans="1:12" ht="18" customHeight="1" outlineLevel="1" x14ac:dyDescent="0.35">
      <c r="A65" s="127" t="s">
        <v>149</v>
      </c>
      <c r="B65" s="113">
        <f>0.6</f>
        <v>0.6</v>
      </c>
      <c r="C65" s="113">
        <f t="shared" ref="C65:I65" si="14">0.6</f>
        <v>0.6</v>
      </c>
      <c r="D65" s="113">
        <f t="shared" si="14"/>
        <v>0.6</v>
      </c>
      <c r="E65" s="113">
        <f t="shared" si="14"/>
        <v>0.6</v>
      </c>
      <c r="F65" s="113">
        <f t="shared" si="14"/>
        <v>0.6</v>
      </c>
      <c r="G65" s="113">
        <f t="shared" si="14"/>
        <v>0.6</v>
      </c>
      <c r="H65" s="113">
        <f t="shared" si="14"/>
        <v>0.6</v>
      </c>
      <c r="I65" s="114">
        <f t="shared" si="14"/>
        <v>0.6</v>
      </c>
    </row>
    <row r="66" spans="1:12" ht="18" customHeight="1" outlineLevel="1" x14ac:dyDescent="0.35">
      <c r="A66" s="127" t="s">
        <v>145</v>
      </c>
      <c r="B66" s="113">
        <f>SUM(B31:E31)</f>
        <v>44.164490468474995</v>
      </c>
      <c r="C66" s="113">
        <f>SUM(B32:E32)</f>
        <v>5.8490906447018327</v>
      </c>
      <c r="D66" s="113">
        <f>SUM(B33:E33)</f>
        <v>32.875677255718728</v>
      </c>
      <c r="E66" s="113">
        <f>SUM(B34:E34)</f>
        <v>7.0871002864065229</v>
      </c>
      <c r="F66" s="113">
        <f>SUM(B35:E35)</f>
        <v>6.6258128979160489</v>
      </c>
      <c r="G66" s="113">
        <f>SUM(B36:E36)</f>
        <v>9.5062310017356566</v>
      </c>
      <c r="H66" s="113">
        <f>SUM(B37:E37)</f>
        <v>5.1464472197660847</v>
      </c>
      <c r="I66" s="114">
        <f>SUM(B37:E37)</f>
        <v>5.1464472197660847</v>
      </c>
    </row>
    <row r="67" spans="1:12" ht="18" customHeight="1" outlineLevel="1" x14ac:dyDescent="0.35">
      <c r="A67" s="115" t="s">
        <v>17</v>
      </c>
      <c r="B67" s="116">
        <f t="shared" ref="B67:I67" si="15">SUM(B64:B66)</f>
        <v>56.466413447849334</v>
      </c>
      <c r="C67" s="116">
        <f t="shared" si="15"/>
        <v>10.139090644701833</v>
      </c>
      <c r="D67" s="116">
        <f t="shared" si="15"/>
        <v>37.305677255718727</v>
      </c>
      <c r="E67" s="116">
        <f t="shared" si="15"/>
        <v>11.067100286406523</v>
      </c>
      <c r="F67" s="116">
        <f t="shared" si="15"/>
        <v>10.605812897916049</v>
      </c>
      <c r="G67" s="116">
        <f t="shared" si="15"/>
        <v>13.486231001735657</v>
      </c>
      <c r="H67" s="116">
        <f t="shared" si="15"/>
        <v>9.1464472197660847</v>
      </c>
      <c r="I67" s="117">
        <f t="shared" si="15"/>
        <v>9.1464472197660847</v>
      </c>
    </row>
    <row r="68" spans="1:12" ht="18" customHeight="1" outlineLevel="1" x14ac:dyDescent="0.35">
      <c r="A68" s="118" t="s">
        <v>146</v>
      </c>
      <c r="B68" s="113">
        <v>4.922518518518519</v>
      </c>
      <c r="C68" s="113">
        <v>3.8629629629629627</v>
      </c>
      <c r="D68" s="113">
        <v>2.4281481481481482</v>
      </c>
      <c r="E68" s="113">
        <v>2.0859999999999999</v>
      </c>
      <c r="F68" s="113">
        <v>0</v>
      </c>
      <c r="G68" s="113">
        <v>1.1588888888888891</v>
      </c>
      <c r="H68" s="113">
        <v>0</v>
      </c>
      <c r="I68" s="114">
        <v>0</v>
      </c>
    </row>
    <row r="69" spans="1:12" ht="18" customHeight="1" outlineLevel="1" x14ac:dyDescent="0.35">
      <c r="A69" s="118" t="s">
        <v>147</v>
      </c>
      <c r="B69" s="113">
        <f>SUM(F31:I31)</f>
        <v>15.273832485612536</v>
      </c>
      <c r="C69" s="113">
        <f>SUM(F32:I32)</f>
        <v>10.044291987346176</v>
      </c>
      <c r="D69" s="113">
        <f>SUM(F33:I33)</f>
        <v>15.667849743547833</v>
      </c>
      <c r="E69" s="113">
        <f>SUM(F34:I34)</f>
        <v>12.165871828930266</v>
      </c>
      <c r="F69" s="113">
        <f>SUM(F35:I35)</f>
        <v>6.7854807790274867</v>
      </c>
      <c r="G69" s="113">
        <f>SUM(F36:I36)</f>
        <v>12.658468432923716</v>
      </c>
      <c r="H69" s="113">
        <f>SUM(F37:I37)</f>
        <v>5.1843941290642279</v>
      </c>
      <c r="I69" s="114">
        <f>SUM(F37:I37)</f>
        <v>5.1843941290642279</v>
      </c>
    </row>
    <row r="70" spans="1:12" ht="18" customHeight="1" outlineLevel="1" x14ac:dyDescent="0.35">
      <c r="A70" s="115" t="s">
        <v>16</v>
      </c>
      <c r="B70" s="116">
        <f t="shared" ref="B70:I70" si="16">B68+B69</f>
        <v>20.196351004131053</v>
      </c>
      <c r="C70" s="116">
        <f t="shared" si="16"/>
        <v>13.907254950309138</v>
      </c>
      <c r="D70" s="116">
        <f t="shared" si="16"/>
        <v>18.09599789169598</v>
      </c>
      <c r="E70" s="116">
        <f t="shared" si="16"/>
        <v>14.251871828930266</v>
      </c>
      <c r="F70" s="116">
        <f t="shared" si="16"/>
        <v>6.7854807790274867</v>
      </c>
      <c r="G70" s="116">
        <f t="shared" si="16"/>
        <v>13.817357321812604</v>
      </c>
      <c r="H70" s="116">
        <f t="shared" si="16"/>
        <v>5.1843941290642279</v>
      </c>
      <c r="I70" s="117">
        <f t="shared" si="16"/>
        <v>5.1843941290642279</v>
      </c>
    </row>
    <row r="71" spans="1:12" ht="18" customHeight="1" x14ac:dyDescent="0.35"/>
    <row r="72" spans="1:12" ht="18" customHeight="1" x14ac:dyDescent="0.35">
      <c r="A72" s="126" t="s">
        <v>153</v>
      </c>
      <c r="B72" s="130">
        <f>B76+B79</f>
        <v>50.843199843126897</v>
      </c>
      <c r="C72" s="131">
        <f t="shared" ref="C72:I72" si="17">C76+C79</f>
        <v>15.509872012555277</v>
      </c>
      <c r="D72" s="131">
        <f t="shared" si="17"/>
        <v>27.108574197586965</v>
      </c>
      <c r="E72" s="131">
        <f t="shared" si="17"/>
        <v>15.24695263130674</v>
      </c>
      <c r="F72" s="131">
        <f t="shared" si="17"/>
        <v>11.052326483392759</v>
      </c>
      <c r="G72" s="131">
        <f t="shared" si="17"/>
        <v>12.73614433003404</v>
      </c>
      <c r="H72" s="131">
        <f t="shared" si="17"/>
        <v>10.260990549389133</v>
      </c>
      <c r="I72" s="132">
        <f t="shared" si="17"/>
        <v>10.260990549389133</v>
      </c>
      <c r="K72" s="128"/>
      <c r="L72" s="128"/>
    </row>
    <row r="73" spans="1:12" ht="18" customHeight="1" outlineLevel="1" x14ac:dyDescent="0.35">
      <c r="A73" s="127" t="s">
        <v>148</v>
      </c>
      <c r="B73" s="113">
        <v>11.004373163773005</v>
      </c>
      <c r="C73" s="113">
        <v>3.56</v>
      </c>
      <c r="D73" s="113">
        <v>3.74</v>
      </c>
      <c r="E73" s="113">
        <v>3.24</v>
      </c>
      <c r="F73" s="113">
        <v>3.24</v>
      </c>
      <c r="G73" s="113">
        <v>3.24</v>
      </c>
      <c r="H73" s="113">
        <v>3.34</v>
      </c>
      <c r="I73" s="114">
        <v>3.34</v>
      </c>
      <c r="K73" s="128"/>
      <c r="L73" s="128"/>
    </row>
    <row r="74" spans="1:12" ht="18" customHeight="1" outlineLevel="1" x14ac:dyDescent="0.35">
      <c r="A74" s="127" t="s">
        <v>149</v>
      </c>
      <c r="B74" s="113">
        <f>0.6</f>
        <v>0.6</v>
      </c>
      <c r="C74" s="113">
        <f t="shared" ref="C74:I74" si="18">0.6</f>
        <v>0.6</v>
      </c>
      <c r="D74" s="113">
        <f t="shared" si="18"/>
        <v>0.6</v>
      </c>
      <c r="E74" s="113">
        <f t="shared" si="18"/>
        <v>0.6</v>
      </c>
      <c r="F74" s="113">
        <f t="shared" si="18"/>
        <v>0.6</v>
      </c>
      <c r="G74" s="113">
        <f t="shared" si="18"/>
        <v>0.6</v>
      </c>
      <c r="H74" s="113">
        <f t="shared" si="18"/>
        <v>0.6</v>
      </c>
      <c r="I74" s="114">
        <f t="shared" si="18"/>
        <v>0.6</v>
      </c>
    </row>
    <row r="75" spans="1:12" ht="18" customHeight="1" outlineLevel="1" x14ac:dyDescent="0.35">
      <c r="A75" s="127" t="s">
        <v>145</v>
      </c>
      <c r="B75" s="113">
        <f>SUM(B20:E20)</f>
        <v>22.623716502012336</v>
      </c>
      <c r="C75" s="113">
        <f>SUM(B21:E21)</f>
        <v>2.7367969694069867</v>
      </c>
      <c r="D75" s="113">
        <f>SUM(B22:E22)</f>
        <v>12.871951385306815</v>
      </c>
      <c r="E75" s="113">
        <f>SUM(B23:E23)</f>
        <v>3.2686552381011627</v>
      </c>
      <c r="F75" s="113">
        <f>SUM(B24:E24)</f>
        <v>3.5169269598881003</v>
      </c>
      <c r="G75" s="113">
        <f>SUM(B25:E25)</f>
        <v>3.6999832015192391</v>
      </c>
      <c r="H75" s="113">
        <f>SUM(B26:E26)</f>
        <v>3.0125838511818297</v>
      </c>
      <c r="I75" s="114">
        <f>SUM(B26:E26)</f>
        <v>3.0125838511818297</v>
      </c>
    </row>
    <row r="76" spans="1:12" ht="18" customHeight="1" outlineLevel="1" x14ac:dyDescent="0.35">
      <c r="A76" s="115" t="s">
        <v>17</v>
      </c>
      <c r="B76" s="116">
        <f t="shared" ref="B76:I76" si="19">SUM(B73:B75)</f>
        <v>34.22808966578534</v>
      </c>
      <c r="C76" s="116">
        <f t="shared" si="19"/>
        <v>6.8967969694069868</v>
      </c>
      <c r="D76" s="116">
        <f t="shared" si="19"/>
        <v>17.211951385306815</v>
      </c>
      <c r="E76" s="116">
        <f t="shared" si="19"/>
        <v>7.1086552381011625</v>
      </c>
      <c r="F76" s="116">
        <f t="shared" si="19"/>
        <v>7.3569269598881011</v>
      </c>
      <c r="G76" s="116">
        <f t="shared" si="19"/>
        <v>7.5399832015192398</v>
      </c>
      <c r="H76" s="116">
        <f t="shared" si="19"/>
        <v>6.9525838511818296</v>
      </c>
      <c r="I76" s="117">
        <f t="shared" si="19"/>
        <v>6.9525838511818296</v>
      </c>
    </row>
    <row r="77" spans="1:12" ht="18" customHeight="1" outlineLevel="1" x14ac:dyDescent="0.35">
      <c r="A77" s="118" t="s">
        <v>146</v>
      </c>
      <c r="B77" s="113">
        <v>4.922518518518519</v>
      </c>
      <c r="C77" s="113">
        <v>3.8629629629629627</v>
      </c>
      <c r="D77" s="113">
        <v>2.4281481481481482</v>
      </c>
      <c r="E77" s="113">
        <v>2.0859999999999999</v>
      </c>
      <c r="F77" s="113">
        <v>0</v>
      </c>
      <c r="G77" s="113">
        <v>1.1588888888888891</v>
      </c>
      <c r="H77" s="113">
        <v>0</v>
      </c>
      <c r="I77" s="114">
        <v>0</v>
      </c>
    </row>
    <row r="78" spans="1:12" ht="18" customHeight="1" outlineLevel="1" x14ac:dyDescent="0.35">
      <c r="A78" s="118" t="s">
        <v>147</v>
      </c>
      <c r="B78" s="113">
        <f>SUM(F20:I20)</f>
        <v>11.692591658823039</v>
      </c>
      <c r="C78" s="113">
        <f>SUM(F21:I21)</f>
        <v>4.7501120801853274</v>
      </c>
      <c r="D78" s="113">
        <f>SUM(F22:I22)</f>
        <v>7.4684746641320015</v>
      </c>
      <c r="E78" s="113">
        <f>SUM(F23:I23)</f>
        <v>6.0522973932055786</v>
      </c>
      <c r="F78" s="113">
        <f>SUM(F24:I24)</f>
        <v>3.6953995235046588</v>
      </c>
      <c r="G78" s="113">
        <f>SUM(F25:I25)</f>
        <v>4.0372722396259109</v>
      </c>
      <c r="H78" s="113">
        <f>SUM(F26:I26)</f>
        <v>3.3084066982073033</v>
      </c>
      <c r="I78" s="114">
        <f>SUM(F26:I26)</f>
        <v>3.3084066982073033</v>
      </c>
    </row>
    <row r="79" spans="1:12" ht="18" customHeight="1" outlineLevel="1" x14ac:dyDescent="0.35">
      <c r="A79" s="115" t="s">
        <v>16</v>
      </c>
      <c r="B79" s="116">
        <f>B77+B78</f>
        <v>16.615110177341556</v>
      </c>
      <c r="C79" s="116">
        <f t="shared" ref="C79:I79" si="20">C77+C78</f>
        <v>8.6130750431482905</v>
      </c>
      <c r="D79" s="116">
        <f t="shared" si="20"/>
        <v>9.8966228122801496</v>
      </c>
      <c r="E79" s="116">
        <f t="shared" si="20"/>
        <v>8.138297393205578</v>
      </c>
      <c r="F79" s="116">
        <f t="shared" si="20"/>
        <v>3.6953995235046588</v>
      </c>
      <c r="G79" s="116">
        <f t="shared" si="20"/>
        <v>5.1961611285147997</v>
      </c>
      <c r="H79" s="116">
        <f t="shared" si="20"/>
        <v>3.3084066982073033</v>
      </c>
      <c r="I79" s="117">
        <f t="shared" si="20"/>
        <v>3.3084066982073033</v>
      </c>
    </row>
    <row r="80" spans="1:12" ht="18" customHeight="1" x14ac:dyDescent="0.35"/>
    <row r="81" spans="1:9" ht="18" customHeight="1" x14ac:dyDescent="0.35">
      <c r="A81" s="126" t="s">
        <v>154</v>
      </c>
      <c r="B81" s="130">
        <f>B85+B88</f>
        <v>65.739770354263982</v>
      </c>
      <c r="C81" s="131">
        <f t="shared" ref="C81:I81" si="21">C85+C88</f>
        <v>20.340459407682012</v>
      </c>
      <c r="D81" s="131">
        <f t="shared" si="21"/>
        <v>42.426488151762285</v>
      </c>
      <c r="E81" s="131">
        <f t="shared" si="21"/>
        <v>20.365940004221315</v>
      </c>
      <c r="F81" s="131">
        <f t="shared" si="21"/>
        <v>14.998648326994434</v>
      </c>
      <c r="G81" s="131">
        <f t="shared" si="21"/>
        <v>22.134230041233501</v>
      </c>
      <c r="H81" s="131">
        <f t="shared" si="21"/>
        <v>12.756270438701552</v>
      </c>
      <c r="I81" s="132">
        <f t="shared" si="21"/>
        <v>12.756270438701552</v>
      </c>
    </row>
    <row r="82" spans="1:9" ht="18" customHeight="1" outlineLevel="1" x14ac:dyDescent="0.35">
      <c r="A82" s="127" t="s">
        <v>148</v>
      </c>
      <c r="B82" s="113">
        <v>11.378798540385599</v>
      </c>
      <c r="C82" s="113">
        <v>3.6265999999999998</v>
      </c>
      <c r="D82" s="113">
        <v>3.8005999999999998</v>
      </c>
      <c r="E82" s="113">
        <v>3.3419999999999996</v>
      </c>
      <c r="F82" s="113">
        <v>3.3419999999999996</v>
      </c>
      <c r="G82" s="113">
        <v>3.3419999999999996</v>
      </c>
      <c r="H82" s="113">
        <v>3.3723999999999998</v>
      </c>
      <c r="I82" s="114">
        <v>3.3723999999999998</v>
      </c>
    </row>
    <row r="83" spans="1:9" ht="18" customHeight="1" outlineLevel="1" x14ac:dyDescent="0.35">
      <c r="A83" s="127" t="s">
        <v>149</v>
      </c>
      <c r="B83" s="113">
        <f>0.6</f>
        <v>0.6</v>
      </c>
      <c r="C83" s="113">
        <f t="shared" ref="C83:I83" si="22">0.6</f>
        <v>0.6</v>
      </c>
      <c r="D83" s="113">
        <f t="shared" si="22"/>
        <v>0.6</v>
      </c>
      <c r="E83" s="113">
        <f t="shared" si="22"/>
        <v>0.6</v>
      </c>
      <c r="F83" s="113">
        <f t="shared" si="22"/>
        <v>0.6</v>
      </c>
      <c r="G83" s="113">
        <f t="shared" si="22"/>
        <v>0.6</v>
      </c>
      <c r="H83" s="113">
        <f t="shared" si="22"/>
        <v>0.6</v>
      </c>
      <c r="I83" s="114">
        <f t="shared" si="22"/>
        <v>0.6</v>
      </c>
    </row>
    <row r="84" spans="1:9" ht="18" customHeight="1" outlineLevel="1" x14ac:dyDescent="0.35">
      <c r="A84" s="127" t="s">
        <v>145</v>
      </c>
      <c r="B84" s="113">
        <f>SUM(B42:E42)</f>
        <v>34.927765811120629</v>
      </c>
      <c r="C84" s="113">
        <f>SUM(B43:E43)</f>
        <v>4.2703456764179304</v>
      </c>
      <c r="D84" s="113">
        <f>SUM(B44:E44)</f>
        <v>23.598802795054741</v>
      </c>
      <c r="E84" s="113">
        <f>SUM(B45:E45)</f>
        <v>4.9479340320963114</v>
      </c>
      <c r="F84" s="113">
        <f>SUM(B46:E46)</f>
        <v>5.4368714222530148</v>
      </c>
      <c r="G84" s="113">
        <f>SUM(B47:E47)</f>
        <v>8.1572087902712802</v>
      </c>
      <c r="H84" s="113">
        <f>SUM(B48:E48)</f>
        <v>4.6049067427895638</v>
      </c>
      <c r="I84" s="114">
        <f>SUM(B48:E48)</f>
        <v>4.6049067427895638</v>
      </c>
    </row>
    <row r="85" spans="1:9" ht="18" customHeight="1" outlineLevel="1" x14ac:dyDescent="0.35">
      <c r="A85" s="115" t="s">
        <v>17</v>
      </c>
      <c r="B85" s="116">
        <f t="shared" ref="B85:I85" si="23">SUM(B82:B84)</f>
        <v>46.906564351506226</v>
      </c>
      <c r="C85" s="116">
        <f t="shared" si="23"/>
        <v>8.4969456764179299</v>
      </c>
      <c r="D85" s="116">
        <f t="shared" si="23"/>
        <v>27.999402795054742</v>
      </c>
      <c r="E85" s="116">
        <f t="shared" si="23"/>
        <v>8.8899340320963116</v>
      </c>
      <c r="F85" s="116">
        <f t="shared" si="23"/>
        <v>9.378871422253015</v>
      </c>
      <c r="G85" s="116">
        <f t="shared" si="23"/>
        <v>12.09920879027128</v>
      </c>
      <c r="H85" s="116">
        <f t="shared" si="23"/>
        <v>8.5773067427895633</v>
      </c>
      <c r="I85" s="117">
        <f t="shared" si="23"/>
        <v>8.5773067427895633</v>
      </c>
    </row>
    <row r="86" spans="1:9" ht="18" customHeight="1" outlineLevel="1" x14ac:dyDescent="0.35">
      <c r="A86" s="118" t="s">
        <v>146</v>
      </c>
      <c r="B86" s="113">
        <v>4.922518518518519</v>
      </c>
      <c r="C86" s="113">
        <v>3.8629629629629627</v>
      </c>
      <c r="D86" s="113">
        <v>2.4281481481481482</v>
      </c>
      <c r="E86" s="113">
        <v>2.0859999999999999</v>
      </c>
      <c r="F86" s="113">
        <v>0</v>
      </c>
      <c r="G86" s="113">
        <v>1.1588888888888891</v>
      </c>
      <c r="H86" s="113">
        <v>0</v>
      </c>
      <c r="I86" s="114">
        <v>0</v>
      </c>
    </row>
    <row r="87" spans="1:9" ht="18" customHeight="1" outlineLevel="1" x14ac:dyDescent="0.35">
      <c r="A87" s="118" t="s">
        <v>147</v>
      </c>
      <c r="B87" s="113">
        <f>SUM(F42:I42)</f>
        <v>13.910687484239233</v>
      </c>
      <c r="C87" s="113">
        <f>SUM(F43:I43)</f>
        <v>7.9805507683011196</v>
      </c>
      <c r="D87" s="113">
        <f>SUM(F44:I44)</f>
        <v>11.998937208559399</v>
      </c>
      <c r="E87" s="113">
        <f>SUM(F45:I45)</f>
        <v>9.3900059721250013</v>
      </c>
      <c r="F87" s="113">
        <f>SUM(F46:I46)</f>
        <v>5.6197769047414194</v>
      </c>
      <c r="G87" s="113">
        <f>SUM(F47:I47)</f>
        <v>8.8761323620733332</v>
      </c>
      <c r="H87" s="113">
        <f>SUM(F48:I48)</f>
        <v>4.1789636959119889</v>
      </c>
      <c r="I87" s="114">
        <f>SUM(F48:I48)</f>
        <v>4.1789636959119889</v>
      </c>
    </row>
    <row r="88" spans="1:9" ht="18" customHeight="1" outlineLevel="1" x14ac:dyDescent="0.35">
      <c r="A88" s="115" t="s">
        <v>16</v>
      </c>
      <c r="B88" s="116">
        <f>B86+B87</f>
        <v>18.833206002757752</v>
      </c>
      <c r="C88" s="116">
        <f t="shared" ref="C88" si="24">C86+C87</f>
        <v>11.843513731264082</v>
      </c>
      <c r="D88" s="116">
        <f t="shared" ref="D88" si="25">D86+D87</f>
        <v>14.427085356707547</v>
      </c>
      <c r="E88" s="116">
        <f t="shared" ref="E88" si="26">E86+E87</f>
        <v>11.476005972125002</v>
      </c>
      <c r="F88" s="116">
        <f t="shared" ref="F88" si="27">F86+F87</f>
        <v>5.6197769047414194</v>
      </c>
      <c r="G88" s="116">
        <f t="shared" ref="G88" si="28">G86+G87</f>
        <v>10.035021250962222</v>
      </c>
      <c r="H88" s="116">
        <f t="shared" ref="H88" si="29">H86+H87</f>
        <v>4.1789636959119889</v>
      </c>
      <c r="I88" s="117">
        <f t="shared" ref="I88" si="30">I86+I87</f>
        <v>4.1789636959119889</v>
      </c>
    </row>
    <row r="89" spans="1:9" ht="18" customHeight="1" x14ac:dyDescent="0.35"/>
    <row r="90" spans="1:9" ht="18" customHeight="1" x14ac:dyDescent="0.35">
      <c r="A90" s="126" t="s">
        <v>155</v>
      </c>
      <c r="B90" s="130">
        <f>B94+B97</f>
        <v>64.072550672401093</v>
      </c>
      <c r="C90" s="131">
        <f t="shared" ref="C90:I90" si="31">C94+C97</f>
        <v>22.070133092827909</v>
      </c>
      <c r="D90" s="131">
        <f t="shared" si="31"/>
        <v>38.744963443517221</v>
      </c>
      <c r="E90" s="131">
        <f t="shared" si="31"/>
        <v>19.316575384563414</v>
      </c>
      <c r="F90" s="131">
        <f t="shared" si="31"/>
        <v>14.821339775524482</v>
      </c>
      <c r="G90" s="131">
        <f t="shared" si="31"/>
        <v>21.117898518609373</v>
      </c>
      <c r="H90" s="131">
        <f t="shared" si="31"/>
        <v>12.709995145693465</v>
      </c>
      <c r="I90" s="132">
        <f t="shared" si="31"/>
        <v>12.657130833960577</v>
      </c>
    </row>
    <row r="91" spans="1:9" ht="18" customHeight="1" outlineLevel="1" x14ac:dyDescent="0.35">
      <c r="A91" s="127" t="s">
        <v>148</v>
      </c>
      <c r="B91" s="113">
        <v>11.378798540385599</v>
      </c>
      <c r="C91" s="113">
        <v>3.6265999999999998</v>
      </c>
      <c r="D91" s="113">
        <v>3.8005999999999998</v>
      </c>
      <c r="E91" s="113">
        <v>3.3419999999999996</v>
      </c>
      <c r="F91" s="113">
        <v>3.3419999999999996</v>
      </c>
      <c r="G91" s="113">
        <v>3.3419999999999996</v>
      </c>
      <c r="H91" s="113">
        <v>3.3723999999999998</v>
      </c>
      <c r="I91" s="114">
        <v>3.3723999999999998</v>
      </c>
    </row>
    <row r="92" spans="1:9" ht="18" customHeight="1" outlineLevel="1" x14ac:dyDescent="0.35">
      <c r="A92" s="127" t="s">
        <v>149</v>
      </c>
      <c r="B92" s="113">
        <f>0.6</f>
        <v>0.6</v>
      </c>
      <c r="C92" s="113">
        <f t="shared" ref="C92:I92" si="32">0.6</f>
        <v>0.6</v>
      </c>
      <c r="D92" s="113">
        <f t="shared" si="32"/>
        <v>0.6</v>
      </c>
      <c r="E92" s="113">
        <f t="shared" si="32"/>
        <v>0.6</v>
      </c>
      <c r="F92" s="113">
        <f t="shared" si="32"/>
        <v>0.6</v>
      </c>
      <c r="G92" s="113">
        <f t="shared" si="32"/>
        <v>0.6</v>
      </c>
      <c r="H92" s="113">
        <f t="shared" si="32"/>
        <v>0.6</v>
      </c>
      <c r="I92" s="114">
        <f t="shared" si="32"/>
        <v>0.6</v>
      </c>
    </row>
    <row r="93" spans="1:9" ht="18" customHeight="1" outlineLevel="1" x14ac:dyDescent="0.35">
      <c r="A93" s="127" t="s">
        <v>145</v>
      </c>
      <c r="B93" s="113">
        <f>'Tarifas_Custos Aceites'!E39</f>
        <v>32.360078367294832</v>
      </c>
      <c r="C93" s="113">
        <f>'Tarifas_Custos Aceites'!E40</f>
        <v>5.1632517147555745</v>
      </c>
      <c r="D93" s="113">
        <f>'Tarifas_Custos Aceites'!E41</f>
        <v>20.748174133014071</v>
      </c>
      <c r="E93" s="113">
        <f>'Tarifas_Custos Aceites'!E42</f>
        <v>4.2144076335463581</v>
      </c>
      <c r="F93" s="113">
        <f>'Tarifas_Custos Aceites'!E43</f>
        <v>5.2751522853340855</v>
      </c>
      <c r="G93" s="113">
        <f>'Tarifas_Custos Aceites'!E44</f>
        <v>8.2255686159977692</v>
      </c>
      <c r="H93" s="113">
        <f>'Tarifas_Custos Aceites'!E45</f>
        <v>4.7075712876123337</v>
      </c>
      <c r="I93" s="114">
        <f>'Tarifas_Custos Aceites'!E46</f>
        <v>4.5995236529025929</v>
      </c>
    </row>
    <row r="94" spans="1:9" ht="18" customHeight="1" outlineLevel="1" x14ac:dyDescent="0.35">
      <c r="A94" s="115" t="s">
        <v>17</v>
      </c>
      <c r="B94" s="116">
        <f t="shared" ref="B94:I94" si="33">SUM(B91:B93)</f>
        <v>44.338876907680429</v>
      </c>
      <c r="C94" s="116">
        <f t="shared" si="33"/>
        <v>9.389851714755574</v>
      </c>
      <c r="D94" s="116">
        <f t="shared" si="33"/>
        <v>25.148774133014072</v>
      </c>
      <c r="E94" s="116">
        <f t="shared" si="33"/>
        <v>8.1564076335463582</v>
      </c>
      <c r="F94" s="116">
        <f t="shared" si="33"/>
        <v>9.2171522853340857</v>
      </c>
      <c r="G94" s="116">
        <f t="shared" si="33"/>
        <v>12.167568615997769</v>
      </c>
      <c r="H94" s="116">
        <f t="shared" si="33"/>
        <v>8.6799712876123341</v>
      </c>
      <c r="I94" s="117">
        <f t="shared" si="33"/>
        <v>8.5719236529025924</v>
      </c>
    </row>
    <row r="95" spans="1:9" ht="18" customHeight="1" outlineLevel="1" x14ac:dyDescent="0.35">
      <c r="A95" s="118" t="s">
        <v>146</v>
      </c>
      <c r="B95" s="113">
        <v>4.922518518518519</v>
      </c>
      <c r="C95" s="113">
        <v>3.8629629629629627</v>
      </c>
      <c r="D95" s="113">
        <v>2.4281481481481482</v>
      </c>
      <c r="E95" s="113">
        <v>2.0859999999999999</v>
      </c>
      <c r="F95" s="113">
        <v>0</v>
      </c>
      <c r="G95" s="113">
        <v>1.1588888888888891</v>
      </c>
      <c r="H95" s="113">
        <v>0</v>
      </c>
      <c r="I95" s="114">
        <v>0</v>
      </c>
    </row>
    <row r="96" spans="1:9" ht="18" customHeight="1" outlineLevel="1" x14ac:dyDescent="0.35">
      <c r="A96" s="118" t="s">
        <v>147</v>
      </c>
      <c r="B96" s="113">
        <f>'Tarifas_Custos Aceites'!E50</f>
        <v>14.811155246202151</v>
      </c>
      <c r="C96" s="113">
        <f>'Tarifas_Custos Aceites'!E51</f>
        <v>8.8173184151093746</v>
      </c>
      <c r="D96" s="113">
        <f>'Tarifas_Custos Aceites'!E52</f>
        <v>11.168041162354998</v>
      </c>
      <c r="E96" s="113">
        <f>'Tarifas_Custos Aceites'!E53</f>
        <v>9.0741677510170575</v>
      </c>
      <c r="F96" s="113">
        <f>'Tarifas_Custos Aceites'!E54</f>
        <v>5.6041874901903954</v>
      </c>
      <c r="G96" s="113">
        <f>'Tarifas_Custos Aceites'!E55</f>
        <v>7.7914410137227135</v>
      </c>
      <c r="H96" s="113">
        <f>'Tarifas_Custos Aceites'!E56</f>
        <v>4.0300238580811305</v>
      </c>
      <c r="I96" s="114">
        <f>'Tarifas_Custos Aceites'!E57</f>
        <v>4.0852071810579851</v>
      </c>
    </row>
    <row r="97" spans="1:9" ht="18" customHeight="1" outlineLevel="1" x14ac:dyDescent="0.35">
      <c r="A97" s="115" t="s">
        <v>16</v>
      </c>
      <c r="B97" s="116">
        <f>B95+B96</f>
        <v>19.73367376472067</v>
      </c>
      <c r="C97" s="116">
        <f t="shared" ref="C97" si="34">C95+C96</f>
        <v>12.680281378072337</v>
      </c>
      <c r="D97" s="116">
        <f t="shared" ref="D97" si="35">D95+D96</f>
        <v>13.596189310503146</v>
      </c>
      <c r="E97" s="116">
        <f t="shared" ref="E97" si="36">E95+E96</f>
        <v>11.160167751017058</v>
      </c>
      <c r="F97" s="116">
        <f t="shared" ref="F97" si="37">F95+F96</f>
        <v>5.6041874901903954</v>
      </c>
      <c r="G97" s="116">
        <f t="shared" ref="G97" si="38">G95+G96</f>
        <v>8.9503299026116032</v>
      </c>
      <c r="H97" s="116">
        <f t="shared" ref="H97" si="39">H95+H96</f>
        <v>4.0300238580811305</v>
      </c>
      <c r="I97" s="117">
        <f t="shared" ref="I97" si="40">I95+I96</f>
        <v>4.0852071810579851</v>
      </c>
    </row>
    <row r="98" spans="1:9" ht="18" customHeight="1" x14ac:dyDescent="0.35"/>
  </sheetData>
  <mergeCells count="1">
    <mergeCell ref="B1:I1"/>
  </mergeCells>
  <pageMargins left="0.7" right="0.7" top="0.75" bottom="0.75" header="0.3" footer="0.3"/>
  <pageSetup paperSize="9" orientation="portrait" r:id="rId1"/>
  <ignoredErrors>
    <ignoredError sqref="B57:I57 B60:I6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D1429-EA6F-4EAF-9124-0D32265C76FD}">
  <dimension ref="A1:R50"/>
  <sheetViews>
    <sheetView zoomScaleNormal="100" workbookViewId="0">
      <pane xSplit="1" ySplit="5" topLeftCell="B6" activePane="bottomRight" state="frozen"/>
      <selection activeCell="C29" sqref="C29:J29"/>
      <selection pane="topRight" activeCell="C29" sqref="C29:J29"/>
      <selection pane="bottomLeft" activeCell="C29" sqref="C29:J29"/>
      <selection pane="bottomRight" activeCell="K9" sqref="K9"/>
    </sheetView>
  </sheetViews>
  <sheetFormatPr defaultColWidth="9.19921875" defaultRowHeight="13.5" x14ac:dyDescent="0.35"/>
  <cols>
    <col min="1" max="1" width="11.9296875" style="48" bestFit="1" customWidth="1"/>
    <col min="2" max="9" width="15.796875" style="48" customWidth="1"/>
    <col min="10" max="10" width="11.73046875" style="48" bestFit="1" customWidth="1"/>
    <col min="11" max="11" width="12.73046875" style="48" bestFit="1" customWidth="1"/>
    <col min="12" max="12" width="12.06640625" style="48" bestFit="1" customWidth="1"/>
    <col min="13" max="13" width="11.73046875" style="48" bestFit="1" customWidth="1"/>
    <col min="14" max="16384" width="9.19921875" style="48"/>
  </cols>
  <sheetData>
    <row r="1" spans="1:18" ht="12" customHeight="1" x14ac:dyDescent="0.35">
      <c r="F1" s="49"/>
    </row>
    <row r="2" spans="1:18" ht="24" customHeight="1" x14ac:dyDescent="0.35">
      <c r="A2" s="190" t="s">
        <v>34</v>
      </c>
      <c r="B2" s="190"/>
      <c r="C2" s="190"/>
      <c r="D2" s="190"/>
      <c r="E2" s="190"/>
      <c r="F2" s="190"/>
      <c r="G2" s="190"/>
      <c r="H2" s="190"/>
      <c r="I2" s="190"/>
      <c r="J2" s="50"/>
      <c r="L2" s="51"/>
    </row>
    <row r="3" spans="1:18" ht="18" customHeight="1" thickBot="1" x14ac:dyDescent="0.4">
      <c r="A3" s="52"/>
      <c r="B3" s="53"/>
      <c r="C3" s="53"/>
      <c r="D3" s="53"/>
      <c r="E3" s="53"/>
      <c r="F3" s="53"/>
      <c r="G3" s="53"/>
      <c r="H3" s="53"/>
      <c r="I3" s="53"/>
      <c r="J3" s="50"/>
      <c r="K3" s="54"/>
      <c r="L3" s="54"/>
      <c r="M3" s="54"/>
      <c r="N3" s="54"/>
      <c r="O3" s="54"/>
      <c r="P3" s="54"/>
      <c r="Q3" s="54"/>
      <c r="R3" s="54"/>
    </row>
    <row r="4" spans="1:18" ht="21" customHeight="1" thickTop="1" thickBot="1" x14ac:dyDescent="0.4">
      <c r="A4" s="55"/>
      <c r="B4" s="56" t="s">
        <v>7</v>
      </c>
      <c r="C4" s="57" t="s">
        <v>8</v>
      </c>
      <c r="D4" s="57" t="s">
        <v>8</v>
      </c>
      <c r="E4" s="57" t="s">
        <v>8</v>
      </c>
      <c r="F4" s="57" t="s">
        <v>8</v>
      </c>
      <c r="G4" s="57" t="s">
        <v>8</v>
      </c>
      <c r="H4" s="57" t="s">
        <v>7</v>
      </c>
      <c r="I4" s="58" t="s">
        <v>7</v>
      </c>
      <c r="J4" s="50"/>
      <c r="K4" s="54"/>
      <c r="L4" s="54"/>
      <c r="M4" s="54"/>
      <c r="N4" s="54"/>
      <c r="O4" s="54"/>
      <c r="P4" s="54"/>
      <c r="Q4" s="54"/>
      <c r="R4" s="54"/>
    </row>
    <row r="5" spans="1:18" ht="21" customHeight="1" thickTop="1" thickBot="1" x14ac:dyDescent="0.4">
      <c r="A5" s="59"/>
      <c r="B5" s="60" t="s">
        <v>0</v>
      </c>
      <c r="C5" s="61" t="s">
        <v>1</v>
      </c>
      <c r="D5" s="61" t="s">
        <v>9</v>
      </c>
      <c r="E5" s="61" t="s">
        <v>12</v>
      </c>
      <c r="F5" s="61" t="s">
        <v>13</v>
      </c>
      <c r="G5" s="61" t="s">
        <v>14</v>
      </c>
      <c r="H5" s="61" t="s">
        <v>2</v>
      </c>
      <c r="I5" s="62" t="s">
        <v>3</v>
      </c>
      <c r="J5" s="50"/>
      <c r="K5" s="63"/>
      <c r="L5" s="63"/>
      <c r="M5" s="63"/>
      <c r="N5" s="63"/>
      <c r="O5" s="63"/>
      <c r="P5" s="63"/>
      <c r="Q5" s="63"/>
      <c r="R5" s="63"/>
    </row>
    <row r="6" spans="1:18" ht="18" customHeight="1" thickTop="1" thickBot="1" x14ac:dyDescent="0.4">
      <c r="A6" s="64">
        <v>44197</v>
      </c>
      <c r="B6" s="65">
        <v>56.99</v>
      </c>
      <c r="C6" s="65">
        <v>49.22</v>
      </c>
      <c r="D6" s="65">
        <v>39.06</v>
      </c>
      <c r="E6" s="65">
        <v>39.28</v>
      </c>
      <c r="F6" s="65">
        <v>39.28</v>
      </c>
      <c r="G6" s="65">
        <v>39.28</v>
      </c>
      <c r="H6" s="65">
        <v>38.42</v>
      </c>
      <c r="I6" s="66">
        <v>38.4</v>
      </c>
      <c r="J6" s="50"/>
      <c r="K6" s="63"/>
      <c r="L6" s="63"/>
      <c r="M6" s="63"/>
      <c r="N6" s="63"/>
      <c r="O6" s="63"/>
      <c r="P6" s="63"/>
      <c r="Q6" s="63"/>
      <c r="R6" s="63"/>
    </row>
    <row r="7" spans="1:18" ht="18" customHeight="1" thickTop="1" thickBot="1" x14ac:dyDescent="0.4">
      <c r="A7" s="64">
        <v>44228</v>
      </c>
      <c r="B7" s="65">
        <v>58.977049255633844</v>
      </c>
      <c r="C7" s="65">
        <v>55.530359644508991</v>
      </c>
      <c r="D7" s="65">
        <v>42.611903653298306</v>
      </c>
      <c r="E7" s="65">
        <v>42.793311274539086</v>
      </c>
      <c r="F7" s="65">
        <v>42.793311274539086</v>
      </c>
      <c r="G7" s="65">
        <v>42.793311274539086</v>
      </c>
      <c r="H7" s="65">
        <v>42.40527769162486</v>
      </c>
      <c r="I7" s="66">
        <v>42.377417204018712</v>
      </c>
    </row>
    <row r="8" spans="1:18" ht="18" customHeight="1" thickTop="1" thickBot="1" x14ac:dyDescent="0.4">
      <c r="A8" s="64">
        <v>44256</v>
      </c>
      <c r="B8" s="65">
        <v>64.609953891966285</v>
      </c>
      <c r="C8" s="65">
        <v>57.902382425401051</v>
      </c>
      <c r="D8" s="65">
        <v>44.16177925714522</v>
      </c>
      <c r="E8" s="65">
        <v>46.61553134944019</v>
      </c>
      <c r="F8" s="65">
        <v>46.61553134944019</v>
      </c>
      <c r="G8" s="65">
        <v>46.61553134944019</v>
      </c>
      <c r="H8" s="65">
        <v>46.301303250982393</v>
      </c>
      <c r="I8" s="66">
        <v>46.229222557238174</v>
      </c>
    </row>
    <row r="9" spans="1:18" ht="18" customHeight="1" thickTop="1" thickBot="1" x14ac:dyDescent="0.4">
      <c r="A9" s="64">
        <v>44287</v>
      </c>
      <c r="B9" s="65">
        <v>64.732964007723439</v>
      </c>
      <c r="C9" s="65">
        <v>65.127651945352795</v>
      </c>
      <c r="D9" s="65">
        <v>47.147654669427446</v>
      </c>
      <c r="E9" s="65">
        <v>49.86607687343519</v>
      </c>
      <c r="F9" s="65">
        <v>49.86607687343519</v>
      </c>
      <c r="G9" s="65">
        <v>49.86607687343519</v>
      </c>
      <c r="H9" s="65">
        <v>49.616906210036859</v>
      </c>
      <c r="I9" s="66">
        <v>49.558644918134888</v>
      </c>
    </row>
    <row r="10" spans="1:18" ht="18" customHeight="1" thickTop="1" thickBot="1" x14ac:dyDescent="0.4">
      <c r="A10" s="64">
        <v>44317</v>
      </c>
      <c r="B10" s="65">
        <v>57.240478451195706</v>
      </c>
      <c r="C10" s="65">
        <v>63.333711606132688</v>
      </c>
      <c r="D10" s="65">
        <v>45.810080601874787</v>
      </c>
      <c r="E10" s="65">
        <v>47.950176175246909</v>
      </c>
      <c r="F10" s="65">
        <v>47.950176175246909</v>
      </c>
      <c r="G10" s="65">
        <v>47.950176175246909</v>
      </c>
      <c r="H10" s="65">
        <v>47.675641471657869</v>
      </c>
      <c r="I10" s="66">
        <v>47.615815461343693</v>
      </c>
    </row>
    <row r="11" spans="1:18" ht="18" customHeight="1" thickTop="1" thickBot="1" x14ac:dyDescent="0.4">
      <c r="A11" s="64">
        <v>44348</v>
      </c>
      <c r="B11" s="65">
        <v>54.066778980295609</v>
      </c>
      <c r="C11" s="65">
        <v>65.082282247123985</v>
      </c>
      <c r="D11" s="65">
        <v>48.120938558405378</v>
      </c>
      <c r="E11" s="65">
        <v>50.652472215858687</v>
      </c>
      <c r="F11" s="65">
        <v>50.652472215858687</v>
      </c>
      <c r="G11" s="65">
        <v>50.652472215858687</v>
      </c>
      <c r="H11" s="65">
        <v>50.812237721240479</v>
      </c>
      <c r="I11" s="66">
        <v>50.753502690246755</v>
      </c>
    </row>
    <row r="12" spans="1:18" ht="18" customHeight="1" thickTop="1" thickBot="1" x14ac:dyDescent="0.4">
      <c r="A12" s="64">
        <v>44378</v>
      </c>
      <c r="B12" s="65">
        <v>63.64114688961196</v>
      </c>
      <c r="C12" s="65">
        <v>69.967846321621352</v>
      </c>
      <c r="D12" s="65">
        <v>52.113044027783701</v>
      </c>
      <c r="E12" s="65">
        <v>55.208447395902937</v>
      </c>
      <c r="F12" s="65">
        <v>55.208447395902937</v>
      </c>
      <c r="G12" s="65">
        <v>55.208447395902937</v>
      </c>
      <c r="H12" s="65">
        <v>55.697619263612772</v>
      </c>
      <c r="I12" s="66">
        <v>55.649737806798484</v>
      </c>
    </row>
    <row r="13" spans="1:18" ht="18" customHeight="1" thickTop="1" thickBot="1" x14ac:dyDescent="0.4">
      <c r="A13" s="64">
        <v>44409</v>
      </c>
      <c r="B13" s="65">
        <v>73.240803770849894</v>
      </c>
      <c r="C13" s="65">
        <v>73.674318786158892</v>
      </c>
      <c r="D13" s="65">
        <v>53.106298285803319</v>
      </c>
      <c r="E13" s="65">
        <v>56.11705339842478</v>
      </c>
      <c r="F13" s="65">
        <v>56.11705339842478</v>
      </c>
      <c r="G13" s="65">
        <v>56.11705339842478</v>
      </c>
      <c r="H13" s="65">
        <v>56.422015156247724</v>
      </c>
      <c r="I13" s="66">
        <v>56.404391694883742</v>
      </c>
    </row>
    <row r="14" spans="1:18" ht="18" customHeight="1" thickTop="1" thickBot="1" x14ac:dyDescent="0.4">
      <c r="A14" s="64">
        <v>44440</v>
      </c>
      <c r="B14" s="65">
        <v>76.473631741834893</v>
      </c>
      <c r="C14" s="65">
        <v>71.944050845888583</v>
      </c>
      <c r="D14" s="65">
        <v>51.667890550938118</v>
      </c>
      <c r="E14" s="65">
        <v>54.612047517962772</v>
      </c>
      <c r="F14" s="65">
        <v>54.612047517962772</v>
      </c>
      <c r="G14" s="65">
        <v>54.612047517962772</v>
      </c>
      <c r="H14" s="65">
        <v>54.529354620431931</v>
      </c>
      <c r="I14" s="66">
        <v>54.526908091853258</v>
      </c>
    </row>
    <row r="15" spans="1:18" ht="18" customHeight="1" thickTop="1" thickBot="1" x14ac:dyDescent="0.4">
      <c r="A15" s="64">
        <v>44470</v>
      </c>
      <c r="B15" s="65">
        <v>82.303519614859766</v>
      </c>
      <c r="C15" s="65">
        <v>76.8618275099291</v>
      </c>
      <c r="D15" s="65">
        <v>56.714940258419368</v>
      </c>
      <c r="E15" s="65">
        <v>60.068287866143692</v>
      </c>
      <c r="F15" s="65">
        <v>60.068287866143692</v>
      </c>
      <c r="G15" s="65">
        <v>60.068287866143692</v>
      </c>
      <c r="H15" s="65">
        <v>60.810607517762179</v>
      </c>
      <c r="I15" s="66">
        <v>60.783568754523962</v>
      </c>
      <c r="K15" s="67"/>
    </row>
    <row r="16" spans="1:18" ht="18" customHeight="1" thickTop="1" thickBot="1" x14ac:dyDescent="0.4">
      <c r="A16" s="64">
        <v>44501</v>
      </c>
      <c r="B16" s="65">
        <v>97.842647912428816</v>
      </c>
      <c r="C16" s="65">
        <v>82.104997880255894</v>
      </c>
      <c r="D16" s="65">
        <v>64.771975873532213</v>
      </c>
      <c r="E16" s="65">
        <v>68.04140556350545</v>
      </c>
      <c r="F16" s="65">
        <v>68.04140556350545</v>
      </c>
      <c r="G16" s="65">
        <v>68.04140556350545</v>
      </c>
      <c r="H16" s="65">
        <v>70.217098090511016</v>
      </c>
      <c r="I16" s="66">
        <v>70.161423176454392</v>
      </c>
    </row>
    <row r="17" spans="1:13" ht="18" customHeight="1" thickTop="1" thickBot="1" x14ac:dyDescent="0.4">
      <c r="A17" s="64">
        <v>44531</v>
      </c>
      <c r="B17" s="65">
        <v>96.802209751988002</v>
      </c>
      <c r="C17" s="65">
        <v>80.323033534869751</v>
      </c>
      <c r="D17" s="65">
        <v>64.07357250356678</v>
      </c>
      <c r="E17" s="65">
        <v>67.100239855274296</v>
      </c>
      <c r="F17" s="65">
        <v>67.100239855274296</v>
      </c>
      <c r="G17" s="65">
        <v>67.100239855274296</v>
      </c>
      <c r="H17" s="65">
        <v>69.167478483069445</v>
      </c>
      <c r="I17" s="66">
        <v>69.089827326053964</v>
      </c>
    </row>
    <row r="18" spans="1:13" ht="14.25" thickTop="1" thickBot="1" x14ac:dyDescent="0.4">
      <c r="A18" s="68"/>
      <c r="B18" s="69"/>
    </row>
    <row r="19" spans="1:13" ht="18" customHeight="1" thickTop="1" thickBot="1" x14ac:dyDescent="0.4">
      <c r="A19" s="64" t="s">
        <v>35</v>
      </c>
      <c r="B19" s="65">
        <f>AVERAGE(B6:B17)</f>
        <v>70.57676535569901</v>
      </c>
      <c r="C19" s="65">
        <f t="shared" ref="C19:I19" si="0">AVERAGE(C6:C17)</f>
        <v>67.589371895603591</v>
      </c>
      <c r="D19" s="65">
        <f t="shared" si="0"/>
        <v>50.780006520016222</v>
      </c>
      <c r="E19" s="65">
        <f t="shared" si="0"/>
        <v>53.192087457144488</v>
      </c>
      <c r="F19" s="65">
        <f t="shared" si="0"/>
        <v>53.192087457144488</v>
      </c>
      <c r="G19" s="65">
        <f t="shared" si="0"/>
        <v>53.192087457144488</v>
      </c>
      <c r="H19" s="65">
        <f t="shared" si="0"/>
        <v>53.506294956431468</v>
      </c>
      <c r="I19" s="66">
        <f t="shared" si="0"/>
        <v>53.462538306795835</v>
      </c>
    </row>
    <row r="20" spans="1:13" ht="18" customHeight="1" thickTop="1" thickBot="1" x14ac:dyDescent="0.4">
      <c r="A20" s="64" t="s">
        <v>36</v>
      </c>
      <c r="B20" s="65">
        <f>MIN(B6:B17)</f>
        <v>54.066778980295609</v>
      </c>
      <c r="C20" s="65">
        <f t="shared" ref="C20:I20" si="1">MIN(C6:C17)</f>
        <v>49.22</v>
      </c>
      <c r="D20" s="65">
        <f t="shared" si="1"/>
        <v>39.06</v>
      </c>
      <c r="E20" s="65">
        <f t="shared" si="1"/>
        <v>39.28</v>
      </c>
      <c r="F20" s="65">
        <f t="shared" si="1"/>
        <v>39.28</v>
      </c>
      <c r="G20" s="65">
        <f t="shared" si="1"/>
        <v>39.28</v>
      </c>
      <c r="H20" s="65">
        <f t="shared" si="1"/>
        <v>38.42</v>
      </c>
      <c r="I20" s="66">
        <f t="shared" si="1"/>
        <v>38.4</v>
      </c>
    </row>
    <row r="21" spans="1:13" ht="18" customHeight="1" thickTop="1" thickBot="1" x14ac:dyDescent="0.4">
      <c r="A21" s="64" t="s">
        <v>37</v>
      </c>
      <c r="B21" s="65">
        <f>MAX(B6:B17)</f>
        <v>97.842647912428816</v>
      </c>
      <c r="C21" s="65">
        <f t="shared" ref="C21:I21" si="2">MAX(C6:C17)</f>
        <v>82.104997880255894</v>
      </c>
      <c r="D21" s="65">
        <f t="shared" si="2"/>
        <v>64.771975873532213</v>
      </c>
      <c r="E21" s="65">
        <f t="shared" si="2"/>
        <v>68.04140556350545</v>
      </c>
      <c r="F21" s="65">
        <f t="shared" si="2"/>
        <v>68.04140556350545</v>
      </c>
      <c r="G21" s="65">
        <f t="shared" si="2"/>
        <v>68.04140556350545</v>
      </c>
      <c r="H21" s="65">
        <f t="shared" si="2"/>
        <v>70.217098090511016</v>
      </c>
      <c r="I21" s="66">
        <f t="shared" si="2"/>
        <v>70.161423176454392</v>
      </c>
    </row>
    <row r="22" spans="1:13" ht="9" customHeight="1" thickTop="1" x14ac:dyDescent="0.35">
      <c r="A22" s="70"/>
      <c r="B22" s="71"/>
      <c r="C22" s="71"/>
      <c r="D22" s="71"/>
      <c r="E22" s="71"/>
      <c r="F22" s="71"/>
      <c r="G22" s="71"/>
      <c r="H22" s="71"/>
      <c r="I22" s="71"/>
    </row>
    <row r="23" spans="1:13" x14ac:dyDescent="0.35">
      <c r="A23" s="70"/>
      <c r="B23" s="72"/>
      <c r="C23" s="72"/>
      <c r="D23" s="72"/>
      <c r="E23" s="72"/>
      <c r="F23" s="72"/>
      <c r="G23" s="72"/>
      <c r="H23" s="72"/>
      <c r="I23" s="72"/>
      <c r="K23" s="73"/>
      <c r="L23" s="73"/>
      <c r="M23" s="73"/>
    </row>
    <row r="24" spans="1:13" ht="9" customHeight="1" x14ac:dyDescent="0.35">
      <c r="A24" s="74"/>
    </row>
    <row r="25" spans="1:13" x14ac:dyDescent="0.35">
      <c r="B25" s="75"/>
      <c r="C25" s="73"/>
      <c r="D25" s="73"/>
      <c r="E25" s="73"/>
      <c r="F25" s="73"/>
      <c r="G25" s="73"/>
      <c r="H25" s="73"/>
      <c r="I25" s="73"/>
      <c r="L25" s="73"/>
      <c r="M25" s="73"/>
    </row>
    <row r="26" spans="1:13" ht="9" customHeight="1" x14ac:dyDescent="0.35">
      <c r="A26" s="74"/>
      <c r="B26" s="76"/>
      <c r="C26" s="76"/>
      <c r="D26" s="76"/>
      <c r="E26" s="76"/>
      <c r="F26" s="76"/>
      <c r="G26" s="76"/>
      <c r="H26" s="76"/>
      <c r="I26" s="76"/>
    </row>
    <row r="27" spans="1:13" x14ac:dyDescent="0.35">
      <c r="B27" s="73"/>
      <c r="C27" s="73"/>
      <c r="D27" s="73"/>
      <c r="E27" s="73"/>
      <c r="F27" s="73"/>
      <c r="G27" s="73"/>
      <c r="H27" s="73"/>
      <c r="I27" s="73"/>
    </row>
    <row r="28" spans="1:13" ht="9" customHeight="1" x14ac:dyDescent="0.35">
      <c r="A28" s="74"/>
      <c r="B28" s="76"/>
      <c r="C28" s="76"/>
      <c r="D28" s="76"/>
      <c r="E28" s="76"/>
      <c r="F28" s="76"/>
      <c r="G28" s="76"/>
      <c r="H28" s="76"/>
      <c r="I28" s="76"/>
    </row>
    <row r="29" spans="1:13" x14ac:dyDescent="0.35">
      <c r="B29" s="73"/>
      <c r="C29" s="73"/>
      <c r="D29" s="73"/>
      <c r="E29" s="73"/>
      <c r="F29" s="73"/>
      <c r="G29" s="73"/>
      <c r="H29" s="73"/>
      <c r="I29" s="73"/>
      <c r="L29" s="73"/>
    </row>
    <row r="30" spans="1:13" ht="9" customHeight="1" x14ac:dyDescent="0.35">
      <c r="A30" s="74"/>
      <c r="B30" s="76"/>
      <c r="C30" s="76"/>
      <c r="D30" s="76"/>
      <c r="E30" s="76"/>
      <c r="F30" s="76"/>
      <c r="G30" s="76"/>
      <c r="H30" s="76"/>
      <c r="I30" s="76"/>
      <c r="L30" s="73"/>
    </row>
    <row r="31" spans="1:13" x14ac:dyDescent="0.35">
      <c r="B31" s="73"/>
      <c r="C31" s="73"/>
      <c r="D31" s="73"/>
      <c r="E31" s="73"/>
      <c r="F31" s="73"/>
      <c r="G31" s="73"/>
      <c r="H31" s="73"/>
      <c r="I31" s="73"/>
    </row>
    <row r="32" spans="1:13" ht="6" customHeight="1" x14ac:dyDescent="0.35">
      <c r="B32" s="76"/>
      <c r="C32" s="76"/>
      <c r="D32" s="76"/>
      <c r="E32" s="76"/>
      <c r="F32" s="76"/>
      <c r="G32" s="76"/>
      <c r="H32" s="76"/>
      <c r="I32" s="76"/>
    </row>
    <row r="33" spans="1:9" x14ac:dyDescent="0.35">
      <c r="B33" s="73"/>
      <c r="C33" s="73"/>
      <c r="D33" s="73"/>
      <c r="E33" s="73"/>
      <c r="F33" s="73"/>
      <c r="G33" s="73"/>
      <c r="H33" s="73"/>
      <c r="I33" s="73"/>
    </row>
    <row r="34" spans="1:9" x14ac:dyDescent="0.35">
      <c r="B34" s="76"/>
      <c r="C34" s="76"/>
      <c r="D34" s="76"/>
      <c r="E34" s="76"/>
      <c r="F34" s="76"/>
      <c r="G34" s="76"/>
      <c r="H34" s="76"/>
      <c r="I34" s="76"/>
    </row>
    <row r="35" spans="1:9" x14ac:dyDescent="0.35">
      <c r="B35" s="73"/>
      <c r="C35" s="73"/>
      <c r="D35" s="73"/>
      <c r="E35" s="73"/>
      <c r="F35" s="73"/>
      <c r="G35" s="73"/>
      <c r="H35" s="73"/>
      <c r="I35" s="73"/>
    </row>
    <row r="36" spans="1:9" x14ac:dyDescent="0.35">
      <c r="B36" s="73"/>
      <c r="C36" s="73"/>
      <c r="D36" s="73"/>
      <c r="E36" s="73"/>
      <c r="F36" s="73"/>
      <c r="G36" s="73"/>
      <c r="H36" s="73"/>
      <c r="I36" s="73"/>
    </row>
    <row r="37" spans="1:9" x14ac:dyDescent="0.35">
      <c r="A37" s="50"/>
      <c r="B37" s="73"/>
      <c r="C37" s="73"/>
      <c r="D37" s="73"/>
      <c r="E37" s="73"/>
      <c r="F37" s="73"/>
      <c r="G37" s="73"/>
      <c r="H37" s="73"/>
      <c r="I37" s="73"/>
    </row>
    <row r="38" spans="1:9" x14ac:dyDescent="0.35">
      <c r="A38" s="50"/>
      <c r="B38" s="73"/>
      <c r="C38" s="73"/>
      <c r="D38" s="73"/>
      <c r="E38" s="73"/>
      <c r="F38" s="73"/>
      <c r="G38" s="73"/>
      <c r="H38" s="73"/>
      <c r="I38" s="73"/>
    </row>
    <row r="39" spans="1:9" x14ac:dyDescent="0.35">
      <c r="B39" s="77"/>
      <c r="C39" s="77"/>
      <c r="D39" s="77"/>
      <c r="E39" s="77"/>
      <c r="F39" s="77"/>
      <c r="G39" s="77"/>
      <c r="H39" s="77"/>
      <c r="I39" s="77"/>
    </row>
    <row r="40" spans="1:9" x14ac:dyDescent="0.35">
      <c r="A40" s="50"/>
      <c r="B40" s="73"/>
      <c r="C40" s="78"/>
      <c r="D40" s="78"/>
      <c r="E40" s="78"/>
      <c r="F40" s="78"/>
    </row>
    <row r="41" spans="1:9" x14ac:dyDescent="0.35">
      <c r="A41" s="50"/>
      <c r="B41" s="73"/>
      <c r="C41" s="77"/>
      <c r="D41" s="77"/>
      <c r="E41" s="77"/>
      <c r="F41" s="77"/>
      <c r="G41" s="77"/>
      <c r="H41" s="77"/>
      <c r="I41" s="77"/>
    </row>
    <row r="42" spans="1:9" x14ac:dyDescent="0.35">
      <c r="A42" s="50"/>
      <c r="B42" s="73"/>
      <c r="C42" s="78"/>
      <c r="D42" s="78"/>
      <c r="E42" s="78"/>
      <c r="F42" s="78"/>
    </row>
    <row r="43" spans="1:9" x14ac:dyDescent="0.35">
      <c r="B43" s="78"/>
      <c r="C43" s="78"/>
      <c r="D43" s="78"/>
      <c r="E43" s="78"/>
      <c r="F43" s="78"/>
    </row>
    <row r="44" spans="1:9" x14ac:dyDescent="0.35">
      <c r="B44" s="78"/>
      <c r="C44" s="78"/>
      <c r="D44" s="78"/>
      <c r="E44" s="78"/>
      <c r="F44" s="78"/>
    </row>
    <row r="45" spans="1:9" x14ac:dyDescent="0.35">
      <c r="B45" s="78"/>
      <c r="C45" s="78"/>
      <c r="D45" s="78"/>
      <c r="E45" s="78"/>
      <c r="F45" s="78"/>
    </row>
    <row r="46" spans="1:9" x14ac:dyDescent="0.35">
      <c r="B46" s="77"/>
      <c r="C46" s="77"/>
      <c r="D46" s="77"/>
      <c r="E46" s="77"/>
      <c r="F46" s="77"/>
      <c r="G46" s="77"/>
      <c r="H46" s="77"/>
      <c r="I46" s="77"/>
    </row>
    <row r="47" spans="1:9" x14ac:dyDescent="0.35">
      <c r="B47" s="77"/>
      <c r="C47" s="77"/>
      <c r="D47" s="77"/>
      <c r="E47" s="77"/>
      <c r="F47" s="77"/>
      <c r="G47" s="77"/>
      <c r="H47" s="77"/>
      <c r="I47" s="77"/>
    </row>
    <row r="48" spans="1:9" x14ac:dyDescent="0.35">
      <c r="B48" s="78"/>
      <c r="C48" s="78"/>
      <c r="D48" s="78"/>
      <c r="E48" s="78"/>
      <c r="F48" s="78"/>
      <c r="G48" s="78"/>
      <c r="H48" s="78"/>
      <c r="I48" s="78"/>
    </row>
    <row r="49" spans="2:6" x14ac:dyDescent="0.35">
      <c r="B49" s="78"/>
      <c r="C49" s="78"/>
      <c r="D49" s="78"/>
      <c r="E49" s="78"/>
      <c r="F49" s="78"/>
    </row>
    <row r="50" spans="2:6" x14ac:dyDescent="0.35">
      <c r="B50" s="78"/>
      <c r="C50" s="78"/>
      <c r="D50" s="78"/>
      <c r="E50" s="78"/>
      <c r="F50" s="78"/>
    </row>
  </sheetData>
  <mergeCells count="1">
    <mergeCell ref="A2:I2"/>
  </mergeCells>
  <conditionalFormatting sqref="C25:I25 B31:I31 B27:I27 B29:I29 B35:I39 J2:J6">
    <cfRule type="cellIs" dxfId="11" priority="12" operator="greaterThanOrEqual">
      <formula>0</formula>
    </cfRule>
  </conditionalFormatting>
  <conditionalFormatting sqref="B23:I23 C25:I25 B31:I31 B27:I27 B29:I29 B35:I38">
    <cfRule type="cellIs" dxfId="10" priority="10" operator="lessThan">
      <formula>B$19</formula>
    </cfRule>
    <cfRule type="cellIs" dxfId="9" priority="11" operator="greaterThanOrEqual">
      <formula>B$19</formula>
    </cfRule>
  </conditionalFormatting>
  <conditionalFormatting sqref="C41:I41">
    <cfRule type="cellIs" dxfId="8" priority="9" operator="greaterThanOrEqual">
      <formula>0</formula>
    </cfRule>
  </conditionalFormatting>
  <conditionalFormatting sqref="B46:I46">
    <cfRule type="cellIs" dxfId="7" priority="8" operator="greaterThanOrEqual">
      <formula>0</formula>
    </cfRule>
  </conditionalFormatting>
  <conditionalFormatting sqref="B47:I47">
    <cfRule type="cellIs" dxfId="6" priority="7" operator="greaterThanOrEqual">
      <formula>0</formula>
    </cfRule>
  </conditionalFormatting>
  <conditionalFormatting sqref="B33:I33">
    <cfRule type="cellIs" dxfId="5" priority="6" operator="greaterThanOrEqual">
      <formula>0</formula>
    </cfRule>
  </conditionalFormatting>
  <conditionalFormatting sqref="B33:I33">
    <cfRule type="cellIs" dxfId="4" priority="4" operator="lessThan">
      <formula>B$19</formula>
    </cfRule>
    <cfRule type="cellIs" dxfId="3" priority="5" operator="greaterThanOrEqual">
      <formula>B$19</formula>
    </cfRule>
  </conditionalFormatting>
  <conditionalFormatting sqref="B40:B42">
    <cfRule type="cellIs" dxfId="2" priority="3" operator="greaterThanOrEqual">
      <formula>0</formula>
    </cfRule>
  </conditionalFormatting>
  <conditionalFormatting sqref="B40:B42">
    <cfRule type="cellIs" dxfId="1" priority="1" operator="lessThan">
      <formula>B$19</formula>
    </cfRule>
    <cfRule type="cellIs" dxfId="0" priority="2" operator="greaterThanOrEqual">
      <formula>B$19</formula>
    </cfRule>
  </conditionalFormatting>
  <dataValidations count="2">
    <dataValidation type="list" allowBlank="1" showInputMessage="1" showErrorMessage="1" sqref="A4" xr:uid="{D6C4FEBD-62A0-467F-920E-9975AA15F4C3}">
      <formula1>"1,2"</formula1>
    </dataValidation>
    <dataValidation type="list" allowBlank="1" showInputMessage="1" showErrorMessage="1" sqref="F1" xr:uid="{957C7BF7-0A32-4322-99EA-A097353AF167}">
      <mc:AlternateContent xmlns:x12ac="http://schemas.microsoft.com/office/spreadsheetml/2011/1/ac" xmlns:mc="http://schemas.openxmlformats.org/markup-compatibility/2006">
        <mc:Choice Requires="x12ac">
          <x12ac:list>ULSD,""""""</x12ac:list>
        </mc:Choice>
        <mc:Fallback>
          <formula1>"ULSD,"""""</formula1>
        </mc:Fallback>
      </mc:AlternateContent>
    </dataValidation>
  </dataValidations>
  <pageMargins left="0.39370078740157483" right="0.39370078740157483" top="0.78740157480314965" bottom="0.62992125984251968" header="0.31496062992125984" footer="0.31496062992125984"/>
  <pageSetup paperSize="9" scale="87" orientation="landscape" r:id="rId1"/>
  <headerFooter>
    <oddFooter>&amp;L&amp;D&amp;F&amp;A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0"/>
  <sheetViews>
    <sheetView zoomScaleNormal="100" workbookViewId="0">
      <selection activeCell="C4" sqref="C4"/>
    </sheetView>
  </sheetViews>
  <sheetFormatPr defaultColWidth="9.06640625" defaultRowHeight="13.15" x14ac:dyDescent="0.4"/>
  <cols>
    <col min="1" max="1" width="3" style="1" customWidth="1"/>
    <col min="2" max="2" width="36.265625" style="1" customWidth="1"/>
    <col min="3" max="10" width="15.59765625" style="1" customWidth="1"/>
    <col min="11" max="16384" width="9.06640625" style="1"/>
  </cols>
  <sheetData>
    <row r="1" spans="1:13" ht="36" customHeight="1" x14ac:dyDescent="0.4">
      <c r="B1" s="18"/>
      <c r="C1" s="18"/>
      <c r="D1" s="18"/>
      <c r="E1" s="18"/>
      <c r="F1" s="18"/>
      <c r="G1" s="18"/>
      <c r="H1" s="18"/>
      <c r="I1" s="18"/>
      <c r="J1" s="18"/>
    </row>
    <row r="2" spans="1:13" ht="12" customHeight="1" x14ac:dyDescent="0.4">
      <c r="B2" s="18"/>
      <c r="C2" s="18"/>
      <c r="D2" s="18"/>
      <c r="E2" s="18"/>
      <c r="F2" s="18"/>
      <c r="G2" s="18"/>
      <c r="H2" s="18"/>
      <c r="I2" s="18"/>
      <c r="J2" s="18"/>
    </row>
    <row r="3" spans="1:13" ht="12" customHeight="1" x14ac:dyDescent="0.4">
      <c r="B3" s="18"/>
      <c r="C3" s="18"/>
      <c r="D3" s="18"/>
      <c r="E3" s="18"/>
      <c r="F3" s="18"/>
      <c r="G3" s="18"/>
      <c r="H3" s="18"/>
      <c r="I3" s="18"/>
      <c r="J3" s="18"/>
    </row>
    <row r="4" spans="1:13" ht="15" customHeight="1" x14ac:dyDescent="0.45">
      <c r="B4" s="107" t="s">
        <v>38</v>
      </c>
      <c r="C4" s="108" t="s">
        <v>41</v>
      </c>
      <c r="D4" s="18"/>
      <c r="E4" s="18"/>
      <c r="F4" s="18"/>
      <c r="G4" s="18"/>
      <c r="H4" s="18"/>
      <c r="I4" s="18"/>
      <c r="J4" s="18"/>
    </row>
    <row r="5" spans="1:13" ht="15" customHeight="1" x14ac:dyDescent="0.4">
      <c r="B5" s="18"/>
      <c r="C5" s="18"/>
      <c r="D5" s="18"/>
      <c r="E5" s="18"/>
      <c r="F5" s="18"/>
      <c r="G5" s="18"/>
      <c r="H5" s="18"/>
      <c r="I5" s="18"/>
      <c r="J5" s="18"/>
    </row>
    <row r="6" spans="1:13" ht="12" customHeight="1" x14ac:dyDescent="0.4"/>
    <row r="7" spans="1:13" ht="24" customHeight="1" x14ac:dyDescent="0.4">
      <c r="B7" s="191" t="s">
        <v>101</v>
      </c>
      <c r="C7" s="191"/>
      <c r="D7" s="191"/>
      <c r="E7" s="191"/>
      <c r="F7" s="191"/>
      <c r="G7" s="191"/>
      <c r="H7" s="191"/>
      <c r="I7" s="191"/>
      <c r="J7" s="191"/>
      <c r="K7" s="2"/>
      <c r="M7" s="3"/>
    </row>
    <row r="8" spans="1:13" ht="12" customHeight="1" thickBot="1" x14ac:dyDescent="0.45">
      <c r="B8" s="4"/>
      <c r="C8" s="5"/>
      <c r="D8" s="5"/>
      <c r="E8" s="5"/>
      <c r="F8" s="5"/>
      <c r="G8" s="5"/>
      <c r="H8" s="5"/>
      <c r="I8" s="5"/>
      <c r="J8" s="5"/>
      <c r="M8" s="3"/>
    </row>
    <row r="9" spans="1:13" ht="19.5" customHeight="1" thickTop="1" thickBot="1" x14ac:dyDescent="0.45">
      <c r="B9" s="6"/>
      <c r="C9" s="7" t="s">
        <v>7</v>
      </c>
      <c r="D9" s="8" t="s">
        <v>8</v>
      </c>
      <c r="E9" s="8" t="s">
        <v>8</v>
      </c>
      <c r="F9" s="8" t="s">
        <v>8</v>
      </c>
      <c r="G9" s="8" t="s">
        <v>8</v>
      </c>
      <c r="H9" s="8" t="s">
        <v>8</v>
      </c>
      <c r="I9" s="8" t="s">
        <v>7</v>
      </c>
      <c r="J9" s="9" t="s">
        <v>7</v>
      </c>
    </row>
    <row r="10" spans="1:13" ht="19.5" customHeight="1" thickTop="1" thickBot="1" x14ac:dyDescent="0.45">
      <c r="B10" s="10">
        <v>1</v>
      </c>
      <c r="C10" s="11" t="s">
        <v>0</v>
      </c>
      <c r="D10" s="12" t="s">
        <v>1</v>
      </c>
      <c r="E10" s="12" t="s">
        <v>9</v>
      </c>
      <c r="F10" s="12" t="s">
        <v>12</v>
      </c>
      <c r="G10" s="12" t="s">
        <v>13</v>
      </c>
      <c r="H10" s="12" t="s">
        <v>14</v>
      </c>
      <c r="I10" s="12" t="s">
        <v>2</v>
      </c>
      <c r="J10" s="13" t="s">
        <v>3</v>
      </c>
    </row>
    <row r="11" spans="1:13" s="18" customFormat="1" ht="19.5" customHeight="1" thickTop="1" x14ac:dyDescent="0.4">
      <c r="A11" s="14"/>
      <c r="B11" s="15" t="s">
        <v>15</v>
      </c>
      <c r="C11" s="16">
        <f>IF($C$4=Lista!$A$1,CP_Resumo!$B$21,IF($C$4=Lista!$A$2,CP_Resumo!$B$20,CP_Resumo!$B$19))</f>
        <v>70.57676535569901</v>
      </c>
      <c r="D11" s="16">
        <f>IF($C$4=Lista!$A$1,CP_Resumo!$C$21,IF($C$4=Lista!$A$2,CP_Resumo!$C$20,CP_Resumo!$C$19))</f>
        <v>67.589371895603591</v>
      </c>
      <c r="E11" s="16">
        <f>IF($C$4=Lista!$A$1,CP_Resumo!$D$21,IF($C$4=Lista!$A$2,CP_Resumo!$D$20,CP_Resumo!$D$19))</f>
        <v>50.780006520016222</v>
      </c>
      <c r="F11" s="16">
        <f>IF($C$4=Lista!$A$1,CP_Resumo!$E$21,IF($C$4=Lista!$A$2,CP_Resumo!$E$20,CP_Resumo!$E$19))</f>
        <v>53.192087457144488</v>
      </c>
      <c r="G11" s="16">
        <f>IF($C$4=Lista!$A$1,CP_Resumo!$F$21,IF($C$4=Lista!$A$2,CP_Resumo!$F$20,CP_Resumo!$F$19))</f>
        <v>53.192087457144488</v>
      </c>
      <c r="H11" s="16">
        <f>IF($C$4=Lista!$A$1,CP_Resumo!$G$21,IF($C$4=Lista!$A$2,CP_Resumo!$G$20,CP_Resumo!$G$19))</f>
        <v>53.192087457144488</v>
      </c>
      <c r="I11" s="16">
        <f>IF($C$4=Lista!$A$1,CP_Resumo!$H$21,IF($C$4=Lista!$A$2,CP_Resumo!$H$20,CP_Resumo!$H$19))</f>
        <v>53.506294956431468</v>
      </c>
      <c r="J11" s="17">
        <f>IF($C$4=Lista!$A$1,CP_Resumo!$I$21,IF($C$4=Lista!$A$2,CP_Resumo!$I$20,CP_Resumo!$I$19))</f>
        <v>53.462538306795835</v>
      </c>
    </row>
    <row r="12" spans="1:13" s="18" customFormat="1" ht="19.5" customHeight="1" x14ac:dyDescent="0.4">
      <c r="A12" s="14"/>
      <c r="B12" s="19" t="s">
        <v>17</v>
      </c>
      <c r="C12" s="20">
        <f>Tarifas_Apuradas!B58</f>
        <v>44.239718917621417</v>
      </c>
      <c r="D12" s="20">
        <f>Tarifas_Apuradas!C58</f>
        <v>7.9425646434444692</v>
      </c>
      <c r="E12" s="20">
        <f>Tarifas_Apuradas!D58</f>
        <v>25.144174133014069</v>
      </c>
      <c r="F12" s="20">
        <f>Tarifas_Apuradas!E58</f>
        <v>8.0982307039403967</v>
      </c>
      <c r="G12" s="20">
        <f>Tarifas_Apuradas!F58</f>
        <v>9.1023914281489837</v>
      </c>
      <c r="H12" s="20">
        <f>Tarifas_Apuradas!G58</f>
        <v>12.165568615997769</v>
      </c>
      <c r="I12" s="20">
        <f>Tarifas_Apuradas!H58</f>
        <v>8.5635236529025924</v>
      </c>
      <c r="J12" s="21">
        <f>Tarifas_Apuradas!I58</f>
        <v>8.5635236529025924</v>
      </c>
    </row>
    <row r="13" spans="1:13" s="18" customFormat="1" ht="19.5" customHeight="1" x14ac:dyDescent="0.4">
      <c r="A13" s="14"/>
      <c r="B13" s="19" t="s">
        <v>16</v>
      </c>
      <c r="C13" s="20">
        <f>Tarifas_Apuradas!B61</f>
        <v>18.521316139640469</v>
      </c>
      <c r="D13" s="20">
        <f>Tarifas_Apuradas!C61</f>
        <v>11.350049569760854</v>
      </c>
      <c r="E13" s="20">
        <f>Tarifas_Apuradas!D61</f>
        <v>13.347706179951226</v>
      </c>
      <c r="F13" s="20">
        <f>Tarifas_Apuradas!E61</f>
        <v>10.644357806875608</v>
      </c>
      <c r="G13" s="20">
        <f>Tarifas_Apuradas!F61</f>
        <v>5.3576545311378467</v>
      </c>
      <c r="H13" s="20">
        <f>Tarifas_Apuradas!G61</f>
        <v>8.9503299026116032</v>
      </c>
      <c r="I13" s="20">
        <f>Tarifas_Apuradas!H61</f>
        <v>3.8213413122866497</v>
      </c>
      <c r="J13" s="21">
        <f>Tarifas_Apuradas!I61</f>
        <v>3.8213413122866497</v>
      </c>
    </row>
    <row r="14" spans="1:13" s="18" customFormat="1" ht="19.5" customHeight="1" x14ac:dyDescent="0.4">
      <c r="A14" s="14"/>
      <c r="B14" s="19" t="s">
        <v>4</v>
      </c>
      <c r="C14" s="20">
        <f>SUM(C11:C13)*0.1665*0.15</f>
        <v>3.3301115653136981</v>
      </c>
      <c r="D14" s="20">
        <f>SUM(D11:D13)*1*0.15</f>
        <v>13.032297916321337</v>
      </c>
      <c r="E14" s="20">
        <f>SUM(E11:E13)*1*0.15</f>
        <v>13.390783024947227</v>
      </c>
      <c r="F14" s="20">
        <f t="shared" ref="F14:J14" si="0">SUM(F11:F13)*1*0.15</f>
        <v>10.790201395194073</v>
      </c>
      <c r="G14" s="20">
        <f t="shared" si="0"/>
        <v>10.147820012464699</v>
      </c>
      <c r="H14" s="20">
        <f>SUM(H11:H13)*0*0.15</f>
        <v>0</v>
      </c>
      <c r="I14" s="20">
        <f t="shared" si="0"/>
        <v>9.8836739882431068</v>
      </c>
      <c r="J14" s="21">
        <f t="shared" si="0"/>
        <v>9.8771104907977598</v>
      </c>
    </row>
    <row r="15" spans="1:13" s="18" customFormat="1" ht="19.5" customHeight="1" thickBot="1" x14ac:dyDescent="0.45">
      <c r="A15" s="14"/>
      <c r="B15" s="22" t="s">
        <v>5</v>
      </c>
      <c r="C15" s="23">
        <v>0.33400000000000002</v>
      </c>
      <c r="D15" s="23">
        <v>8.2505000000000006</v>
      </c>
      <c r="E15" s="23">
        <v>0.26719999999999999</v>
      </c>
      <c r="F15" s="23">
        <v>8.2805599999999995</v>
      </c>
      <c r="G15" s="23">
        <v>0.28055999999999998</v>
      </c>
      <c r="H15" s="23">
        <v>0.28055999999999998</v>
      </c>
      <c r="I15" s="23">
        <v>0.33400000000000002</v>
      </c>
      <c r="J15" s="24">
        <v>0.33400000000000002</v>
      </c>
    </row>
    <row r="16" spans="1:13" s="18" customFormat="1" ht="15" customHeight="1" thickTop="1" thickBot="1" x14ac:dyDescent="0.45">
      <c r="A16" s="14"/>
      <c r="B16" s="25"/>
      <c r="C16" s="26"/>
      <c r="D16" s="26"/>
      <c r="E16" s="26"/>
      <c r="F16" s="26"/>
      <c r="G16" s="26"/>
      <c r="H16" s="26"/>
      <c r="I16" s="26"/>
      <c r="J16" s="26"/>
    </row>
    <row r="17" spans="1:10" s="18" customFormat="1" ht="19.5" customHeight="1" thickTop="1" thickBot="1" x14ac:dyDescent="0.45">
      <c r="A17" s="14"/>
      <c r="B17" s="27" t="s">
        <v>10</v>
      </c>
      <c r="C17" s="28">
        <f>SUM(C11:C15)</f>
        <v>137.00191197827459</v>
      </c>
      <c r="D17" s="28">
        <f t="shared" ref="D17:J17" si="1">SUM(D11:D15)</f>
        <v>108.16478402513026</v>
      </c>
      <c r="E17" s="28">
        <f t="shared" si="1"/>
        <v>102.92986985792875</v>
      </c>
      <c r="F17" s="28">
        <f t="shared" si="1"/>
        <v>91.005437363154556</v>
      </c>
      <c r="G17" s="28">
        <f t="shared" si="1"/>
        <v>78.080513428896026</v>
      </c>
      <c r="H17" s="28">
        <f t="shared" si="1"/>
        <v>74.588545975753846</v>
      </c>
      <c r="I17" s="28">
        <f t="shared" si="1"/>
        <v>76.108833909863819</v>
      </c>
      <c r="J17" s="29">
        <f t="shared" si="1"/>
        <v>76.058513762782837</v>
      </c>
    </row>
    <row r="18" spans="1:10" s="18" customFormat="1" ht="12" customHeight="1" thickTop="1" thickBot="1" x14ac:dyDescent="0.45">
      <c r="A18" s="14"/>
      <c r="B18" s="25"/>
      <c r="C18" s="26"/>
      <c r="D18" s="26"/>
      <c r="E18" s="26"/>
      <c r="F18" s="26"/>
      <c r="G18" s="26"/>
      <c r="H18" s="26"/>
      <c r="I18" s="26"/>
      <c r="J18" s="26"/>
    </row>
    <row r="19" spans="1:10" s="18" customFormat="1" ht="19.5" customHeight="1" thickTop="1" thickBot="1" x14ac:dyDescent="0.45">
      <c r="A19" s="14"/>
      <c r="B19" s="30" t="s">
        <v>11</v>
      </c>
      <c r="C19" s="31">
        <f>ROUND(C17,1)</f>
        <v>137</v>
      </c>
      <c r="D19" s="31">
        <f t="shared" ref="D19:J19" si="2">ROUND(D17,1)</f>
        <v>108.2</v>
      </c>
      <c r="E19" s="31">
        <f t="shared" si="2"/>
        <v>102.9</v>
      </c>
      <c r="F19" s="31">
        <f t="shared" si="2"/>
        <v>91</v>
      </c>
      <c r="G19" s="31">
        <f t="shared" si="2"/>
        <v>78.099999999999994</v>
      </c>
      <c r="H19" s="31">
        <f t="shared" si="2"/>
        <v>74.599999999999994</v>
      </c>
      <c r="I19" s="31">
        <f t="shared" si="2"/>
        <v>76.099999999999994</v>
      </c>
      <c r="J19" s="32">
        <f t="shared" si="2"/>
        <v>76.099999999999994</v>
      </c>
    </row>
    <row r="20" spans="1:10" ht="19.5" customHeight="1" thickTop="1" x14ac:dyDescent="0.4">
      <c r="B20" s="4"/>
      <c r="C20" s="33"/>
      <c r="D20" s="33"/>
      <c r="E20" s="33"/>
      <c r="F20" s="33"/>
      <c r="G20" s="33"/>
      <c r="H20" s="33"/>
      <c r="I20" s="33"/>
      <c r="J20" s="33"/>
    </row>
    <row r="22" spans="1:10" ht="15" x14ac:dyDescent="0.4">
      <c r="B22" s="191" t="s">
        <v>102</v>
      </c>
      <c r="C22" s="191"/>
      <c r="D22" s="191"/>
      <c r="E22" s="191"/>
      <c r="F22" s="191"/>
      <c r="G22" s="191"/>
      <c r="H22" s="191"/>
      <c r="I22" s="191"/>
      <c r="J22" s="191"/>
    </row>
    <row r="23" spans="1:10" ht="13.5" thickBot="1" x14ac:dyDescent="0.45">
      <c r="B23" s="4"/>
      <c r="C23" s="5"/>
      <c r="D23" s="5"/>
      <c r="E23" s="5"/>
      <c r="F23" s="5"/>
      <c r="G23" s="5"/>
      <c r="H23" s="5"/>
      <c r="I23" s="5"/>
      <c r="J23" s="5"/>
    </row>
    <row r="24" spans="1:10" ht="14.25" thickTop="1" thickBot="1" x14ac:dyDescent="0.45">
      <c r="B24" s="6"/>
      <c r="C24" s="7" t="s">
        <v>7</v>
      </c>
      <c r="D24" s="8" t="s">
        <v>8</v>
      </c>
      <c r="E24" s="8" t="s">
        <v>8</v>
      </c>
      <c r="F24" s="8" t="s">
        <v>8</v>
      </c>
      <c r="G24" s="8" t="s">
        <v>8</v>
      </c>
      <c r="H24" s="8" t="s">
        <v>8</v>
      </c>
      <c r="I24" s="8" t="s">
        <v>7</v>
      </c>
      <c r="J24" s="9" t="s">
        <v>7</v>
      </c>
    </row>
    <row r="25" spans="1:10" ht="14.25" thickTop="1" thickBot="1" x14ac:dyDescent="0.45">
      <c r="B25" s="10">
        <v>1</v>
      </c>
      <c r="C25" s="11" t="s">
        <v>0</v>
      </c>
      <c r="D25" s="12" t="s">
        <v>1</v>
      </c>
      <c r="E25" s="12" t="s">
        <v>9</v>
      </c>
      <c r="F25" s="12" t="s">
        <v>12</v>
      </c>
      <c r="G25" s="12" t="s">
        <v>13</v>
      </c>
      <c r="H25" s="12" t="s">
        <v>14</v>
      </c>
      <c r="I25" s="12" t="s">
        <v>2</v>
      </c>
      <c r="J25" s="13" t="s">
        <v>3</v>
      </c>
    </row>
    <row r="26" spans="1:10" ht="13.9" thickTop="1" x14ac:dyDescent="0.4">
      <c r="B26" s="15" t="s">
        <v>15</v>
      </c>
      <c r="C26" s="16">
        <f>IF($C$4=Lista!$A$1,CP_Resumo!$B$21,IF($C$4=Lista!$A$2,CP_Resumo!$B$20,CP_Resumo!$B$19))</f>
        <v>70.57676535569901</v>
      </c>
      <c r="D26" s="16">
        <f>IF($C$4=Lista!$A$1,CP_Resumo!$C$21,IF($C$4=Lista!$A$2,CP_Resumo!$C$20,CP_Resumo!$C$19))</f>
        <v>67.589371895603591</v>
      </c>
      <c r="E26" s="16">
        <f>IF($C$4=Lista!$A$1,CP_Resumo!$D$21,IF($C$4=Lista!$A$2,CP_Resumo!$D$20,CP_Resumo!$D$19))</f>
        <v>50.780006520016222</v>
      </c>
      <c r="F26" s="16">
        <f>IF($C$4=Lista!$A$1,CP_Resumo!$E$21,IF($C$4=Lista!$A$2,CP_Resumo!$E$20,CP_Resumo!$E$19))</f>
        <v>53.192087457144488</v>
      </c>
      <c r="G26" s="16">
        <f>IF($C$4=Lista!$A$1,CP_Resumo!$F$21,IF($C$4=Lista!$A$2,CP_Resumo!$F$20,CP_Resumo!$F$19))</f>
        <v>53.192087457144488</v>
      </c>
      <c r="H26" s="16">
        <f>IF($C$4=Lista!$A$1,CP_Resumo!$G$21,IF($C$4=Lista!$A$2,CP_Resumo!$G$20,CP_Resumo!$G$19))</f>
        <v>53.192087457144488</v>
      </c>
      <c r="I26" s="16">
        <f>IF($C$4=Lista!$A$1,CP_Resumo!$H$21,IF($C$4=Lista!$A$2,CP_Resumo!$H$20,CP_Resumo!$H$19))</f>
        <v>53.506294956431468</v>
      </c>
      <c r="J26" s="17">
        <f>IF($C$4=Lista!$A$1,CP_Resumo!$I$21,IF($C$4=Lista!$A$2,CP_Resumo!$I$20,CP_Resumo!$I$19))</f>
        <v>53.462538306795835</v>
      </c>
    </row>
    <row r="27" spans="1:10" ht="13.5" x14ac:dyDescent="0.4">
      <c r="B27" s="19" t="s">
        <v>17</v>
      </c>
      <c r="C27" s="20">
        <f>Tarifas_Apuradas!B67</f>
        <v>56.466413447849334</v>
      </c>
      <c r="D27" s="20">
        <f>Tarifas_Apuradas!C67</f>
        <v>10.139090644701833</v>
      </c>
      <c r="E27" s="20">
        <f>Tarifas_Apuradas!D67</f>
        <v>37.305677255718727</v>
      </c>
      <c r="F27" s="20">
        <f>Tarifas_Apuradas!E67</f>
        <v>11.067100286406523</v>
      </c>
      <c r="G27" s="20">
        <f>Tarifas_Apuradas!F67</f>
        <v>10.605812897916049</v>
      </c>
      <c r="H27" s="20">
        <f>Tarifas_Apuradas!G67</f>
        <v>13.486231001735657</v>
      </c>
      <c r="I27" s="20">
        <f>Tarifas_Apuradas!H67</f>
        <v>9.1464472197660847</v>
      </c>
      <c r="J27" s="21">
        <f>Tarifas_Apuradas!I67</f>
        <v>9.1464472197660847</v>
      </c>
    </row>
    <row r="28" spans="1:10" ht="13.5" x14ac:dyDescent="0.4">
      <c r="B28" s="19" t="s">
        <v>16</v>
      </c>
      <c r="C28" s="20">
        <f>Tarifas_Apuradas!B70</f>
        <v>20.196351004131053</v>
      </c>
      <c r="D28" s="20">
        <f>Tarifas_Apuradas!C70</f>
        <v>13.907254950309138</v>
      </c>
      <c r="E28" s="20">
        <f>Tarifas_Apuradas!D70</f>
        <v>18.09599789169598</v>
      </c>
      <c r="F28" s="20">
        <f>Tarifas_Apuradas!E70</f>
        <v>14.251871828930266</v>
      </c>
      <c r="G28" s="20">
        <f>Tarifas_Apuradas!F70</f>
        <v>6.7854807790274867</v>
      </c>
      <c r="H28" s="20">
        <f>Tarifas_Apuradas!G70</f>
        <v>13.817357321812604</v>
      </c>
      <c r="I28" s="20">
        <f>Tarifas_Apuradas!H70</f>
        <v>5.1843941290642279</v>
      </c>
      <c r="J28" s="21">
        <f>Tarifas_Apuradas!I70</f>
        <v>5.1843941290642279</v>
      </c>
    </row>
    <row r="29" spans="1:10" ht="13.5" x14ac:dyDescent="0.4">
      <c r="B29" s="19" t="s">
        <v>4</v>
      </c>
      <c r="C29" s="20">
        <f>SUM(C26:C28)*0.1665*0.15</f>
        <v>3.6773072569467926</v>
      </c>
      <c r="D29" s="20">
        <f>SUM(D26:D28)*1*0.15</f>
        <v>13.745357623592184</v>
      </c>
      <c r="E29" s="20">
        <f>SUM(E26:E28)*1*0.15</f>
        <v>15.927252250114638</v>
      </c>
      <c r="F29" s="20">
        <f t="shared" ref="F29:G29" si="3">SUM(F26:F28)*1*0.15</f>
        <v>11.77665893587219</v>
      </c>
      <c r="G29" s="20">
        <f t="shared" si="3"/>
        <v>10.587507170113202</v>
      </c>
      <c r="H29" s="20">
        <f>SUM(H26:H28)*0*0.15</f>
        <v>0</v>
      </c>
      <c r="I29" s="20">
        <f t="shared" ref="I29:J29" si="4">SUM(I26:I28)*1*0.15</f>
        <v>10.175570445789267</v>
      </c>
      <c r="J29" s="21">
        <f t="shared" si="4"/>
        <v>10.169006948343922</v>
      </c>
    </row>
    <row r="30" spans="1:10" ht="13.9" thickBot="1" x14ac:dyDescent="0.45">
      <c r="B30" s="22" t="s">
        <v>5</v>
      </c>
      <c r="C30" s="23">
        <v>0.33400000000000002</v>
      </c>
      <c r="D30" s="23">
        <v>8.2505000000000006</v>
      </c>
      <c r="E30" s="23">
        <v>0.26719999999999999</v>
      </c>
      <c r="F30" s="23">
        <v>8.2805599999999995</v>
      </c>
      <c r="G30" s="23">
        <v>0.28055999999999998</v>
      </c>
      <c r="H30" s="23">
        <v>0.28055999999999998</v>
      </c>
      <c r="I30" s="23">
        <v>0.33400000000000002</v>
      </c>
      <c r="J30" s="24">
        <v>0.33400000000000002</v>
      </c>
    </row>
    <row r="31" spans="1:10" ht="14.25" thickTop="1" thickBot="1" x14ac:dyDescent="0.45">
      <c r="B31" s="25" t="s">
        <v>6</v>
      </c>
      <c r="C31" s="26"/>
      <c r="D31" s="26"/>
      <c r="E31" s="26"/>
      <c r="F31" s="26"/>
      <c r="G31" s="26"/>
      <c r="H31" s="26"/>
      <c r="I31" s="26"/>
      <c r="J31" s="26"/>
    </row>
    <row r="32" spans="1:10" ht="14.25" thickTop="1" thickBot="1" x14ac:dyDescent="0.45">
      <c r="B32" s="27" t="s">
        <v>10</v>
      </c>
      <c r="C32" s="28">
        <f>SUM(C26:C30)</f>
        <v>151.25083706462618</v>
      </c>
      <c r="D32" s="28">
        <f t="shared" ref="D32:J32" si="5">SUM(D26:D30)</f>
        <v>113.63157511420675</v>
      </c>
      <c r="E32" s="28">
        <f t="shared" si="5"/>
        <v>122.37613391754556</v>
      </c>
      <c r="F32" s="28">
        <f t="shared" si="5"/>
        <v>98.568278508353458</v>
      </c>
      <c r="G32" s="28">
        <f t="shared" si="5"/>
        <v>81.451448304201207</v>
      </c>
      <c r="H32" s="28">
        <f t="shared" si="5"/>
        <v>80.776235780692744</v>
      </c>
      <c r="I32" s="28">
        <f t="shared" si="5"/>
        <v>78.346706751051045</v>
      </c>
      <c r="J32" s="29">
        <f t="shared" si="5"/>
        <v>78.296386603970078</v>
      </c>
    </row>
    <row r="33" spans="2:10" ht="14.25" thickTop="1" thickBot="1" x14ac:dyDescent="0.45">
      <c r="B33" s="25"/>
      <c r="C33" s="26"/>
      <c r="D33" s="26"/>
      <c r="E33" s="26"/>
      <c r="F33" s="26"/>
      <c r="G33" s="26"/>
      <c r="H33" s="26"/>
      <c r="I33" s="26"/>
      <c r="J33" s="26"/>
    </row>
    <row r="34" spans="2:10" ht="14.25" thickTop="1" thickBot="1" x14ac:dyDescent="0.45">
      <c r="B34" s="30" t="s">
        <v>11</v>
      </c>
      <c r="C34" s="31">
        <f>ROUND(C32,1)</f>
        <v>151.30000000000001</v>
      </c>
      <c r="D34" s="31">
        <f t="shared" ref="D34:J34" si="6">ROUND(D32,1)</f>
        <v>113.6</v>
      </c>
      <c r="E34" s="31">
        <f t="shared" si="6"/>
        <v>122.4</v>
      </c>
      <c r="F34" s="31">
        <f t="shared" si="6"/>
        <v>98.6</v>
      </c>
      <c r="G34" s="31">
        <f t="shared" si="6"/>
        <v>81.5</v>
      </c>
      <c r="H34" s="31">
        <f t="shared" si="6"/>
        <v>80.8</v>
      </c>
      <c r="I34" s="31">
        <f t="shared" si="6"/>
        <v>78.3</v>
      </c>
      <c r="J34" s="32">
        <f t="shared" si="6"/>
        <v>78.3</v>
      </c>
    </row>
    <row r="35" spans="2:10" ht="13.5" thickTop="1" x14ac:dyDescent="0.4"/>
    <row r="37" spans="2:10" ht="15" x14ac:dyDescent="0.4">
      <c r="B37" s="191" t="s">
        <v>103</v>
      </c>
      <c r="C37" s="191"/>
      <c r="D37" s="191"/>
      <c r="E37" s="191"/>
      <c r="F37" s="191"/>
      <c r="G37" s="191"/>
      <c r="H37" s="191"/>
      <c r="I37" s="191"/>
      <c r="J37" s="191"/>
    </row>
    <row r="38" spans="2:10" ht="13.5" thickBot="1" x14ac:dyDescent="0.45">
      <c r="B38" s="4"/>
      <c r="C38" s="5"/>
      <c r="D38" s="5"/>
      <c r="E38" s="5"/>
      <c r="F38" s="5"/>
      <c r="G38" s="5"/>
      <c r="H38" s="5"/>
      <c r="I38" s="5"/>
      <c r="J38" s="5"/>
    </row>
    <row r="39" spans="2:10" ht="14.25" thickTop="1" thickBot="1" x14ac:dyDescent="0.45">
      <c r="B39" s="6"/>
      <c r="C39" s="7" t="s">
        <v>7</v>
      </c>
      <c r="D39" s="8" t="s">
        <v>8</v>
      </c>
      <c r="E39" s="8" t="s">
        <v>8</v>
      </c>
      <c r="F39" s="8" t="s">
        <v>8</v>
      </c>
      <c r="G39" s="8" t="s">
        <v>8</v>
      </c>
      <c r="H39" s="8" t="s">
        <v>8</v>
      </c>
      <c r="I39" s="8" t="s">
        <v>7</v>
      </c>
      <c r="J39" s="9" t="s">
        <v>7</v>
      </c>
    </row>
    <row r="40" spans="2:10" ht="14.25" thickTop="1" thickBot="1" x14ac:dyDescent="0.45">
      <c r="B40" s="10">
        <v>1</v>
      </c>
      <c r="C40" s="11" t="s">
        <v>0</v>
      </c>
      <c r="D40" s="12" t="s">
        <v>1</v>
      </c>
      <c r="E40" s="12" t="s">
        <v>9</v>
      </c>
      <c r="F40" s="12" t="s">
        <v>12</v>
      </c>
      <c r="G40" s="12" t="s">
        <v>13</v>
      </c>
      <c r="H40" s="12" t="s">
        <v>14</v>
      </c>
      <c r="I40" s="12" t="s">
        <v>2</v>
      </c>
      <c r="J40" s="13" t="s">
        <v>3</v>
      </c>
    </row>
    <row r="41" spans="2:10" ht="13.9" thickTop="1" x14ac:dyDescent="0.4">
      <c r="B41" s="15" t="s">
        <v>15</v>
      </c>
      <c r="C41" s="16">
        <f>IF($C$4=Lista!$A$1,CP_Resumo!$B$21,IF($C$4=Lista!$A$2,CP_Resumo!$B$20,CP_Resumo!$B$19))</f>
        <v>70.57676535569901</v>
      </c>
      <c r="D41" s="16">
        <f>IF($C$4=Lista!$A$1,CP_Resumo!$C$21,IF($C$4=Lista!$A$2,CP_Resumo!$C$20,CP_Resumo!$C$19))</f>
        <v>67.589371895603591</v>
      </c>
      <c r="E41" s="16">
        <f>IF($C$4=Lista!$A$1,CP_Resumo!$D$21,IF($C$4=Lista!$A$2,CP_Resumo!$D$20,CP_Resumo!$D$19))</f>
        <v>50.780006520016222</v>
      </c>
      <c r="F41" s="16">
        <f>IF($C$4=Lista!$A$1,CP_Resumo!$E$21,IF($C$4=Lista!$A$2,CP_Resumo!$E$20,CP_Resumo!$E$19))</f>
        <v>53.192087457144488</v>
      </c>
      <c r="G41" s="16">
        <f>IF($C$4=Lista!$A$1,CP_Resumo!$F$21,IF($C$4=Lista!$A$2,CP_Resumo!$F$20,CP_Resumo!$F$19))</f>
        <v>53.192087457144488</v>
      </c>
      <c r="H41" s="16">
        <f>IF($C$4=Lista!$A$1,CP_Resumo!$G$21,IF($C$4=Lista!$A$2,CP_Resumo!$G$20,CP_Resumo!$G$19))</f>
        <v>53.192087457144488</v>
      </c>
      <c r="I41" s="16">
        <f>IF($C$4=Lista!$A$1,CP_Resumo!$H$21,IF($C$4=Lista!$A$2,CP_Resumo!$H$20,CP_Resumo!$H$19))</f>
        <v>53.506294956431468</v>
      </c>
      <c r="J41" s="17">
        <f>IF($C$4=Lista!$A$1,CP_Resumo!$I$21,IF($C$4=Lista!$A$2,CP_Resumo!$I$20,CP_Resumo!$I$19))</f>
        <v>53.462538306795835</v>
      </c>
    </row>
    <row r="42" spans="2:10" ht="13.5" x14ac:dyDescent="0.4">
      <c r="B42" s="19" t="s">
        <v>17</v>
      </c>
      <c r="C42" s="20">
        <f>Tarifas_Apuradas!B76</f>
        <v>34.22808966578534</v>
      </c>
      <c r="D42" s="20">
        <f>Tarifas_Apuradas!C76</f>
        <v>6.8967969694069868</v>
      </c>
      <c r="E42" s="20">
        <f>Tarifas_Apuradas!D76</f>
        <v>17.211951385306815</v>
      </c>
      <c r="F42" s="20">
        <f>Tarifas_Apuradas!E76</f>
        <v>7.1086552381011625</v>
      </c>
      <c r="G42" s="20">
        <f>Tarifas_Apuradas!F76</f>
        <v>7.3569269598881011</v>
      </c>
      <c r="H42" s="20">
        <f>Tarifas_Apuradas!G76</f>
        <v>7.5399832015192398</v>
      </c>
      <c r="I42" s="20">
        <f>Tarifas_Apuradas!H76</f>
        <v>6.9525838511818296</v>
      </c>
      <c r="J42" s="21">
        <f>Tarifas_Apuradas!I76</f>
        <v>6.9525838511818296</v>
      </c>
    </row>
    <row r="43" spans="2:10" ht="13.5" x14ac:dyDescent="0.4">
      <c r="B43" s="19" t="s">
        <v>16</v>
      </c>
      <c r="C43" s="20">
        <f>Tarifas_Apuradas!B79</f>
        <v>16.615110177341556</v>
      </c>
      <c r="D43" s="20">
        <f>Tarifas_Apuradas!C79</f>
        <v>8.6130750431482905</v>
      </c>
      <c r="E43" s="20">
        <f>Tarifas_Apuradas!D79</f>
        <v>9.8966228122801496</v>
      </c>
      <c r="F43" s="20">
        <f>Tarifas_Apuradas!E79</f>
        <v>8.138297393205578</v>
      </c>
      <c r="G43" s="20">
        <f>Tarifas_Apuradas!F79</f>
        <v>3.6953995235046588</v>
      </c>
      <c r="H43" s="20">
        <f>Tarifas_Apuradas!G79</f>
        <v>5.1961611285147997</v>
      </c>
      <c r="I43" s="20">
        <f>Tarifas_Apuradas!H79</f>
        <v>3.3084066982073033</v>
      </c>
      <c r="J43" s="21">
        <f>Tarifas_Apuradas!I79</f>
        <v>3.3084066982073033</v>
      </c>
    </row>
    <row r="44" spans="2:10" ht="13.5" x14ac:dyDescent="0.4">
      <c r="B44" s="19" t="s">
        <v>4</v>
      </c>
      <c r="C44" s="20">
        <f>SUM(C41:C43)*0.1665*0.15</f>
        <v>3.0324636308406769</v>
      </c>
      <c r="D44" s="20">
        <f>SUM(D41:D43)*1*0.15</f>
        <v>12.46488658622383</v>
      </c>
      <c r="E44" s="20">
        <f>SUM(E41:E43)*1*0.15</f>
        <v>11.683287107640478</v>
      </c>
      <c r="F44" s="20">
        <f t="shared" ref="F44:G44" si="7">SUM(F41:F43)*1*0.15</f>
        <v>10.265856013267685</v>
      </c>
      <c r="G44" s="20">
        <f t="shared" si="7"/>
        <v>9.636662091080586</v>
      </c>
      <c r="H44" s="20">
        <f>SUM(H41:H43)*0*0.15</f>
        <v>0</v>
      </c>
      <c r="I44" s="20">
        <f t="shared" ref="I44:J44" si="8">SUM(I41:I43)*1*0.15</f>
        <v>9.565092825873089</v>
      </c>
      <c r="J44" s="21">
        <f t="shared" si="8"/>
        <v>9.5585293284277455</v>
      </c>
    </row>
    <row r="45" spans="2:10" ht="13.9" thickBot="1" x14ac:dyDescent="0.45">
      <c r="B45" s="22" t="s">
        <v>5</v>
      </c>
      <c r="C45" s="23">
        <v>0.33400000000000002</v>
      </c>
      <c r="D45" s="23">
        <v>8.2505000000000006</v>
      </c>
      <c r="E45" s="23">
        <v>0.26719999999999999</v>
      </c>
      <c r="F45" s="23">
        <v>8.2805599999999995</v>
      </c>
      <c r="G45" s="23">
        <v>0.28055999999999998</v>
      </c>
      <c r="H45" s="23">
        <v>0.28055999999999998</v>
      </c>
      <c r="I45" s="23">
        <v>0.33400000000000002</v>
      </c>
      <c r="J45" s="24">
        <v>0.33400000000000002</v>
      </c>
    </row>
    <row r="46" spans="2:10" ht="14.25" thickTop="1" thickBot="1" x14ac:dyDescent="0.45">
      <c r="B46" s="25" t="s">
        <v>6</v>
      </c>
      <c r="C46" s="26"/>
      <c r="D46" s="26"/>
      <c r="E46" s="26"/>
      <c r="F46" s="26"/>
      <c r="G46" s="26"/>
      <c r="H46" s="26"/>
      <c r="I46" s="26"/>
      <c r="J46" s="26"/>
    </row>
    <row r="47" spans="2:10" ht="14.25" thickTop="1" thickBot="1" x14ac:dyDescent="0.45">
      <c r="B47" s="27" t="s">
        <v>10</v>
      </c>
      <c r="C47" s="28">
        <f>SUM(C41:C45)</f>
        <v>124.78642882966659</v>
      </c>
      <c r="D47" s="28">
        <f t="shared" ref="D47:J47" si="9">SUM(D41:D45)</f>
        <v>103.8146304943827</v>
      </c>
      <c r="E47" s="28">
        <f t="shared" si="9"/>
        <v>89.839067825243674</v>
      </c>
      <c r="F47" s="28">
        <f t="shared" si="9"/>
        <v>86.98545610171891</v>
      </c>
      <c r="G47" s="28">
        <f t="shared" si="9"/>
        <v>74.161636031617817</v>
      </c>
      <c r="H47" s="28">
        <f t="shared" si="9"/>
        <v>66.208791787178527</v>
      </c>
      <c r="I47" s="28">
        <f t="shared" si="9"/>
        <v>73.666378331693693</v>
      </c>
      <c r="J47" s="29">
        <f t="shared" si="9"/>
        <v>73.616058184612712</v>
      </c>
    </row>
    <row r="48" spans="2:10" ht="14.25" thickTop="1" thickBot="1" x14ac:dyDescent="0.45">
      <c r="B48" s="25"/>
      <c r="C48" s="26"/>
      <c r="D48" s="26"/>
      <c r="E48" s="26"/>
      <c r="F48" s="26"/>
      <c r="G48" s="26"/>
      <c r="H48" s="26"/>
      <c r="I48" s="26"/>
      <c r="J48" s="26"/>
    </row>
    <row r="49" spans="2:10" ht="14.25" thickTop="1" thickBot="1" x14ac:dyDescent="0.45">
      <c r="B49" s="30" t="s">
        <v>11</v>
      </c>
      <c r="C49" s="31">
        <f>ROUND(C47,1)</f>
        <v>124.8</v>
      </c>
      <c r="D49" s="31">
        <f t="shared" ref="D49:J49" si="10">ROUND(D47,1)</f>
        <v>103.8</v>
      </c>
      <c r="E49" s="31">
        <f t="shared" si="10"/>
        <v>89.8</v>
      </c>
      <c r="F49" s="31">
        <f t="shared" si="10"/>
        <v>87</v>
      </c>
      <c r="G49" s="31">
        <f t="shared" si="10"/>
        <v>74.2</v>
      </c>
      <c r="H49" s="31">
        <f t="shared" si="10"/>
        <v>66.2</v>
      </c>
      <c r="I49" s="31">
        <f t="shared" si="10"/>
        <v>73.7</v>
      </c>
      <c r="J49" s="32">
        <f t="shared" si="10"/>
        <v>73.599999999999994</v>
      </c>
    </row>
    <row r="50" spans="2:10" ht="13.5" thickTop="1" x14ac:dyDescent="0.4"/>
    <row r="52" spans="2:10" ht="15" x14ac:dyDescent="0.4">
      <c r="B52" s="191" t="s">
        <v>156</v>
      </c>
      <c r="C52" s="191"/>
      <c r="D52" s="191"/>
      <c r="E52" s="191"/>
      <c r="F52" s="191"/>
      <c r="G52" s="191"/>
      <c r="H52" s="191"/>
      <c r="I52" s="191"/>
      <c r="J52" s="191"/>
    </row>
    <row r="53" spans="2:10" ht="13.5" thickBot="1" x14ac:dyDescent="0.45">
      <c r="B53" s="4"/>
      <c r="C53" s="5"/>
      <c r="D53" s="5"/>
      <c r="E53" s="5"/>
      <c r="F53" s="5"/>
      <c r="G53" s="5"/>
      <c r="H53" s="5"/>
      <c r="I53" s="5"/>
      <c r="J53" s="5"/>
    </row>
    <row r="54" spans="2:10" ht="14.25" thickTop="1" thickBot="1" x14ac:dyDescent="0.45">
      <c r="B54" s="6"/>
      <c r="C54" s="7" t="s">
        <v>7</v>
      </c>
      <c r="D54" s="8" t="s">
        <v>8</v>
      </c>
      <c r="E54" s="8" t="s">
        <v>8</v>
      </c>
      <c r="F54" s="8" t="s">
        <v>8</v>
      </c>
      <c r="G54" s="8" t="s">
        <v>8</v>
      </c>
      <c r="H54" s="8" t="s">
        <v>8</v>
      </c>
      <c r="I54" s="8" t="s">
        <v>7</v>
      </c>
      <c r="J54" s="9" t="s">
        <v>7</v>
      </c>
    </row>
    <row r="55" spans="2:10" ht="14.25" thickTop="1" thickBot="1" x14ac:dyDescent="0.45">
      <c r="B55" s="10">
        <v>1</v>
      </c>
      <c r="C55" s="11" t="s">
        <v>0</v>
      </c>
      <c r="D55" s="12" t="s">
        <v>1</v>
      </c>
      <c r="E55" s="12" t="s">
        <v>9</v>
      </c>
      <c r="F55" s="12" t="s">
        <v>12</v>
      </c>
      <c r="G55" s="12" t="s">
        <v>13</v>
      </c>
      <c r="H55" s="12" t="s">
        <v>14</v>
      </c>
      <c r="I55" s="12" t="s">
        <v>2</v>
      </c>
      <c r="J55" s="13" t="s">
        <v>3</v>
      </c>
    </row>
    <row r="56" spans="2:10" ht="13.9" thickTop="1" x14ac:dyDescent="0.4">
      <c r="B56" s="15" t="s">
        <v>15</v>
      </c>
      <c r="C56" s="16">
        <f>IF($C$4=Lista!$A$1,CP_Resumo!$B$21,IF($C$4=Lista!$A$2,CP_Resumo!$B$20,CP_Resumo!$B$19))</f>
        <v>70.57676535569901</v>
      </c>
      <c r="D56" s="16">
        <f>IF($C$4=Lista!$A$1,CP_Resumo!$C$21,IF($C$4=Lista!$A$2,CP_Resumo!$C$20,CP_Resumo!$C$19))</f>
        <v>67.589371895603591</v>
      </c>
      <c r="E56" s="16">
        <f>IF($C$4=Lista!$A$1,CP_Resumo!$D$21,IF($C$4=Lista!$A$2,CP_Resumo!$D$20,CP_Resumo!$D$19))</f>
        <v>50.780006520016222</v>
      </c>
      <c r="F56" s="16">
        <f>IF($C$4=Lista!$A$1,CP_Resumo!$E$21,IF($C$4=Lista!$A$2,CP_Resumo!$E$20,CP_Resumo!$E$19))</f>
        <v>53.192087457144488</v>
      </c>
      <c r="G56" s="16">
        <f>IF($C$4=Lista!$A$1,CP_Resumo!$F$21,IF($C$4=Lista!$A$2,CP_Resumo!$F$20,CP_Resumo!$F$19))</f>
        <v>53.192087457144488</v>
      </c>
      <c r="H56" s="16">
        <f>IF($C$4=Lista!$A$1,CP_Resumo!$G$21,IF($C$4=Lista!$A$2,CP_Resumo!$G$20,CP_Resumo!$G$19))</f>
        <v>53.192087457144488</v>
      </c>
      <c r="I56" s="16">
        <f>IF($C$4=Lista!$A$1,CP_Resumo!$H$21,IF($C$4=Lista!$A$2,CP_Resumo!$H$20,CP_Resumo!$H$19))</f>
        <v>53.506294956431468</v>
      </c>
      <c r="J56" s="17">
        <f>IF($C$4=Lista!$A$1,CP_Resumo!$I$21,IF($C$4=Lista!$A$2,CP_Resumo!$I$20,CP_Resumo!$I$19))</f>
        <v>53.462538306795835</v>
      </c>
    </row>
    <row r="57" spans="2:10" ht="13.5" x14ac:dyDescent="0.4">
      <c r="B57" s="19" t="s">
        <v>17</v>
      </c>
      <c r="C57" s="20">
        <f>Tarifas_Apuradas!B85</f>
        <v>46.906564351506226</v>
      </c>
      <c r="D57" s="20">
        <f>Tarifas_Apuradas!C85</f>
        <v>8.4969456764179299</v>
      </c>
      <c r="E57" s="20">
        <f>Tarifas_Apuradas!D85</f>
        <v>27.999402795054742</v>
      </c>
      <c r="F57" s="20">
        <f>Tarifas_Apuradas!E85</f>
        <v>8.8899340320963116</v>
      </c>
      <c r="G57" s="20">
        <f>Tarifas_Apuradas!F85</f>
        <v>9.378871422253015</v>
      </c>
      <c r="H57" s="20">
        <f>Tarifas_Apuradas!G85</f>
        <v>12.09920879027128</v>
      </c>
      <c r="I57" s="20">
        <f>Tarifas_Apuradas!H85</f>
        <v>8.5773067427895633</v>
      </c>
      <c r="J57" s="21">
        <f>Tarifas_Apuradas!I85</f>
        <v>8.5773067427895633</v>
      </c>
    </row>
    <row r="58" spans="2:10" ht="13.5" x14ac:dyDescent="0.4">
      <c r="B58" s="19" t="s">
        <v>16</v>
      </c>
      <c r="C58" s="20">
        <f>Tarifas_Apuradas!B88</f>
        <v>18.833206002757752</v>
      </c>
      <c r="D58" s="20">
        <f>Tarifas_Apuradas!C88</f>
        <v>11.843513731264082</v>
      </c>
      <c r="E58" s="20">
        <f>Tarifas_Apuradas!D88</f>
        <v>14.427085356707547</v>
      </c>
      <c r="F58" s="20">
        <f>Tarifas_Apuradas!E88</f>
        <v>11.476005972125002</v>
      </c>
      <c r="G58" s="20">
        <f>Tarifas_Apuradas!F88</f>
        <v>5.6197769047414194</v>
      </c>
      <c r="H58" s="20">
        <f>Tarifas_Apuradas!G88</f>
        <v>10.035021250962222</v>
      </c>
      <c r="I58" s="20">
        <f>Tarifas_Apuradas!H88</f>
        <v>4.1789636959119889</v>
      </c>
      <c r="J58" s="21">
        <f>Tarifas_Apuradas!I88</f>
        <v>4.1789636959119889</v>
      </c>
    </row>
    <row r="59" spans="2:10" ht="13.5" x14ac:dyDescent="0.4">
      <c r="B59" s="19" t="s">
        <v>4</v>
      </c>
      <c r="C59" s="20">
        <f>SUM(C56:C58)*0.1665*0.15</f>
        <v>3.4045054793563252</v>
      </c>
      <c r="D59" s="20">
        <f>SUM(D56:D58)*1*0.15</f>
        <v>13.189474695492841</v>
      </c>
      <c r="E59" s="20">
        <f>SUM(E56:E58)*1*0.15</f>
        <v>13.980974200766777</v>
      </c>
      <c r="F59" s="20">
        <f t="shared" ref="F59:G59" si="11">SUM(F56:F58)*1*0.15</f>
        <v>11.033704119204872</v>
      </c>
      <c r="G59" s="20">
        <f t="shared" si="11"/>
        <v>10.228610367620838</v>
      </c>
      <c r="H59" s="20">
        <f>SUM(H56:H58)*0*0.15</f>
        <v>0</v>
      </c>
      <c r="I59" s="20">
        <f t="shared" ref="I59:J59" si="12">SUM(I56:I58)*1*0.15</f>
        <v>9.9393848092699528</v>
      </c>
      <c r="J59" s="21">
        <f t="shared" si="12"/>
        <v>9.9328213118246076</v>
      </c>
    </row>
    <row r="60" spans="2:10" ht="13.9" thickBot="1" x14ac:dyDescent="0.45">
      <c r="B60" s="22" t="s">
        <v>5</v>
      </c>
      <c r="C60" s="23">
        <v>0.33400000000000002</v>
      </c>
      <c r="D60" s="23">
        <v>8.2505000000000006</v>
      </c>
      <c r="E60" s="23">
        <v>0.26719999999999999</v>
      </c>
      <c r="F60" s="23">
        <v>8.2805599999999995</v>
      </c>
      <c r="G60" s="23">
        <v>0.28055999999999998</v>
      </c>
      <c r="H60" s="23">
        <v>0.28055999999999998</v>
      </c>
      <c r="I60" s="23">
        <v>0.33400000000000002</v>
      </c>
      <c r="J60" s="24">
        <v>0.33400000000000002</v>
      </c>
    </row>
    <row r="61" spans="2:10" ht="14.25" thickTop="1" thickBot="1" x14ac:dyDescent="0.45">
      <c r="B61" s="25" t="s">
        <v>6</v>
      </c>
      <c r="C61" s="26"/>
      <c r="D61" s="26"/>
      <c r="E61" s="26"/>
      <c r="F61" s="26"/>
      <c r="G61" s="26"/>
      <c r="H61" s="26"/>
      <c r="I61" s="26"/>
      <c r="J61" s="26"/>
    </row>
    <row r="62" spans="2:10" ht="14.25" thickTop="1" thickBot="1" x14ac:dyDescent="0.45">
      <c r="B62" s="27" t="s">
        <v>10</v>
      </c>
      <c r="C62" s="28">
        <f>SUM(C56:C60)</f>
        <v>140.0550411893193</v>
      </c>
      <c r="D62" s="28">
        <f t="shared" ref="D62:J62" si="13">SUM(D56:D60)</f>
        <v>109.36980599877846</v>
      </c>
      <c r="E62" s="28">
        <f t="shared" si="13"/>
        <v>107.4546688725453</v>
      </c>
      <c r="F62" s="28">
        <f t="shared" si="13"/>
        <v>92.872291580570675</v>
      </c>
      <c r="G62" s="28">
        <f t="shared" si="13"/>
        <v>78.699906151759748</v>
      </c>
      <c r="H62" s="28">
        <f t="shared" si="13"/>
        <v>75.606877498377983</v>
      </c>
      <c r="I62" s="28">
        <f t="shared" si="13"/>
        <v>76.53595020440298</v>
      </c>
      <c r="J62" s="29">
        <f t="shared" si="13"/>
        <v>76.485630057321998</v>
      </c>
    </row>
    <row r="63" spans="2:10" ht="14.25" thickTop="1" thickBot="1" x14ac:dyDescent="0.45">
      <c r="B63" s="25"/>
      <c r="C63" s="26"/>
      <c r="D63" s="26"/>
      <c r="E63" s="26"/>
      <c r="F63" s="26"/>
      <c r="G63" s="26"/>
      <c r="H63" s="26"/>
      <c r="I63" s="26"/>
      <c r="J63" s="26"/>
    </row>
    <row r="64" spans="2:10" ht="14.25" thickTop="1" thickBot="1" x14ac:dyDescent="0.45">
      <c r="B64" s="30" t="s">
        <v>11</v>
      </c>
      <c r="C64" s="31">
        <f>ROUND(C62,1)</f>
        <v>140.1</v>
      </c>
      <c r="D64" s="31">
        <f t="shared" ref="D64:J64" si="14">ROUND(D62,1)</f>
        <v>109.4</v>
      </c>
      <c r="E64" s="31">
        <f t="shared" si="14"/>
        <v>107.5</v>
      </c>
      <c r="F64" s="31">
        <f t="shared" si="14"/>
        <v>92.9</v>
      </c>
      <c r="G64" s="31">
        <f t="shared" si="14"/>
        <v>78.7</v>
      </c>
      <c r="H64" s="31">
        <f t="shared" si="14"/>
        <v>75.599999999999994</v>
      </c>
      <c r="I64" s="31">
        <f t="shared" si="14"/>
        <v>76.5</v>
      </c>
      <c r="J64" s="32">
        <f t="shared" si="14"/>
        <v>76.5</v>
      </c>
    </row>
    <row r="65" spans="2:10" ht="13.5" thickTop="1" x14ac:dyDescent="0.4"/>
    <row r="67" spans="2:10" ht="15" x14ac:dyDescent="0.4">
      <c r="B67" s="191" t="s">
        <v>104</v>
      </c>
      <c r="C67" s="191"/>
      <c r="D67" s="191"/>
      <c r="E67" s="191"/>
      <c r="F67" s="191"/>
      <c r="G67" s="191"/>
      <c r="H67" s="191"/>
      <c r="I67" s="191"/>
      <c r="J67" s="191"/>
    </row>
    <row r="68" spans="2:10" ht="13.5" thickBot="1" x14ac:dyDescent="0.45">
      <c r="B68" s="4"/>
      <c r="C68" s="5"/>
      <c r="D68" s="5"/>
      <c r="E68" s="5"/>
      <c r="F68" s="5"/>
      <c r="G68" s="5"/>
      <c r="H68" s="5"/>
      <c r="I68" s="5"/>
      <c r="J68" s="5"/>
    </row>
    <row r="69" spans="2:10" ht="14.25" thickTop="1" thickBot="1" x14ac:dyDescent="0.45">
      <c r="B69" s="6"/>
      <c r="C69" s="7" t="s">
        <v>7</v>
      </c>
      <c r="D69" s="8" t="s">
        <v>8</v>
      </c>
      <c r="E69" s="8" t="s">
        <v>8</v>
      </c>
      <c r="F69" s="8" t="s">
        <v>8</v>
      </c>
      <c r="G69" s="8" t="s">
        <v>8</v>
      </c>
      <c r="H69" s="8" t="s">
        <v>8</v>
      </c>
      <c r="I69" s="8" t="s">
        <v>7</v>
      </c>
      <c r="J69" s="9" t="s">
        <v>7</v>
      </c>
    </row>
    <row r="70" spans="2:10" ht="14.25" thickTop="1" thickBot="1" x14ac:dyDescent="0.45">
      <c r="B70" s="10">
        <v>1</v>
      </c>
      <c r="C70" s="11" t="s">
        <v>0</v>
      </c>
      <c r="D70" s="12" t="s">
        <v>1</v>
      </c>
      <c r="E70" s="12" t="s">
        <v>9</v>
      </c>
      <c r="F70" s="12" t="s">
        <v>12</v>
      </c>
      <c r="G70" s="12" t="s">
        <v>13</v>
      </c>
      <c r="H70" s="12" t="s">
        <v>14</v>
      </c>
      <c r="I70" s="12" t="s">
        <v>2</v>
      </c>
      <c r="J70" s="13" t="s">
        <v>3</v>
      </c>
    </row>
    <row r="71" spans="2:10" ht="13.9" thickTop="1" x14ac:dyDescent="0.4">
      <c r="B71" s="15" t="s">
        <v>15</v>
      </c>
      <c r="C71" s="16">
        <f>IF($C$4=Lista!$A$1,CP_Resumo!$B$21,IF($C$4=Lista!$A$2,CP_Resumo!$B$20,CP_Resumo!$B$19))</f>
        <v>70.57676535569901</v>
      </c>
      <c r="D71" s="16">
        <f>IF($C$4=Lista!$A$1,CP_Resumo!$C$21,IF($C$4=Lista!$A$2,CP_Resumo!$C$20,CP_Resumo!$C$19))</f>
        <v>67.589371895603591</v>
      </c>
      <c r="E71" s="16">
        <f>IF($C$4=Lista!$A$1,CP_Resumo!$D$21,IF($C$4=Lista!$A$2,CP_Resumo!$D$20,CP_Resumo!$D$19))</f>
        <v>50.780006520016222</v>
      </c>
      <c r="F71" s="16">
        <f>IF($C$4=Lista!$A$1,CP_Resumo!$E$21,IF($C$4=Lista!$A$2,CP_Resumo!$E$20,CP_Resumo!$E$19))</f>
        <v>53.192087457144488</v>
      </c>
      <c r="G71" s="16">
        <f>IF($C$4=Lista!$A$1,CP_Resumo!$F$21,IF($C$4=Lista!$A$2,CP_Resumo!$F$20,CP_Resumo!$F$19))</f>
        <v>53.192087457144488</v>
      </c>
      <c r="H71" s="16">
        <f>IF($C$4=Lista!$A$1,CP_Resumo!$G$21,IF($C$4=Lista!$A$2,CP_Resumo!$G$20,CP_Resumo!$G$19))</f>
        <v>53.192087457144488</v>
      </c>
      <c r="I71" s="16">
        <f>IF($C$4=Lista!$A$1,CP_Resumo!$H$21,IF($C$4=Lista!$A$2,CP_Resumo!$H$20,CP_Resumo!$H$19))</f>
        <v>53.506294956431468</v>
      </c>
      <c r="J71" s="17">
        <f>IF($C$4=Lista!$A$1,CP_Resumo!$I$21,IF($C$4=Lista!$A$2,CP_Resumo!$I$20,CP_Resumo!$I$19))</f>
        <v>53.462538306795835</v>
      </c>
    </row>
    <row r="72" spans="2:10" ht="13.5" x14ac:dyDescent="0.4">
      <c r="B72" s="19" t="s">
        <v>17</v>
      </c>
      <c r="C72" s="20">
        <f>Tarifas_Apuradas!B94</f>
        <v>44.338876907680429</v>
      </c>
      <c r="D72" s="20">
        <f>Tarifas_Apuradas!C94</f>
        <v>9.389851714755574</v>
      </c>
      <c r="E72" s="20">
        <f>Tarifas_Apuradas!D94</f>
        <v>25.148774133014072</v>
      </c>
      <c r="F72" s="20">
        <f>Tarifas_Apuradas!E94</f>
        <v>8.1564076335463582</v>
      </c>
      <c r="G72" s="20">
        <f>Tarifas_Apuradas!F94</f>
        <v>9.2171522853340857</v>
      </c>
      <c r="H72" s="20">
        <f>Tarifas_Apuradas!G94</f>
        <v>12.167568615997769</v>
      </c>
      <c r="I72" s="20">
        <f>Tarifas_Apuradas!H94</f>
        <v>8.6799712876123341</v>
      </c>
      <c r="J72" s="21">
        <f>Tarifas_Apuradas!I94</f>
        <v>8.5719236529025924</v>
      </c>
    </row>
    <row r="73" spans="2:10" ht="13.5" x14ac:dyDescent="0.4">
      <c r="B73" s="19" t="s">
        <v>16</v>
      </c>
      <c r="C73" s="20">
        <f>Tarifas_Apuradas!B97</f>
        <v>19.73367376472067</v>
      </c>
      <c r="D73" s="20">
        <f>Tarifas_Apuradas!C97</f>
        <v>12.680281378072337</v>
      </c>
      <c r="E73" s="20">
        <f>Tarifas_Apuradas!D97</f>
        <v>13.596189310503146</v>
      </c>
      <c r="F73" s="20">
        <f>Tarifas_Apuradas!E97</f>
        <v>11.160167751017058</v>
      </c>
      <c r="G73" s="20">
        <f>Tarifas_Apuradas!F97</f>
        <v>5.6041874901903954</v>
      </c>
      <c r="H73" s="20">
        <f>Tarifas_Apuradas!G97</f>
        <v>8.9503299026116032</v>
      </c>
      <c r="I73" s="20">
        <f>Tarifas_Apuradas!H97</f>
        <v>4.0300238580811305</v>
      </c>
      <c r="J73" s="21">
        <f>Tarifas_Apuradas!I97</f>
        <v>4.0852071810579851</v>
      </c>
    </row>
    <row r="74" spans="2:10" ht="13.5" x14ac:dyDescent="0.4">
      <c r="B74" s="19" t="s">
        <v>4</v>
      </c>
      <c r="C74" s="20">
        <f>SUM(C71:C73)*0.1665*0.15</f>
        <v>3.3628666678018004</v>
      </c>
      <c r="D74" s="20">
        <f>SUM(D71:D73)*1*0.15</f>
        <v>13.448925748264726</v>
      </c>
      <c r="E74" s="20">
        <f>SUM(E71:E73)*1*0.15</f>
        <v>13.428745494530014</v>
      </c>
      <c r="F74" s="20">
        <f t="shared" ref="F74:G74" si="15">SUM(F71:F73)*1*0.15</f>
        <v>10.876299426256185</v>
      </c>
      <c r="G74" s="20">
        <f t="shared" si="15"/>
        <v>10.202014084900346</v>
      </c>
      <c r="H74" s="20">
        <f>SUM(H71:H73)*0*0.15</f>
        <v>0</v>
      </c>
      <c r="I74" s="20">
        <f t="shared" ref="I74:J74" si="16">SUM(I71:I73)*1*0.15</f>
        <v>9.9324435153187398</v>
      </c>
      <c r="J74" s="21">
        <f t="shared" si="16"/>
        <v>9.9179503711134611</v>
      </c>
    </row>
    <row r="75" spans="2:10" ht="13.9" thickBot="1" x14ac:dyDescent="0.45">
      <c r="B75" s="22" t="s">
        <v>5</v>
      </c>
      <c r="C75" s="23">
        <v>0.33400000000000002</v>
      </c>
      <c r="D75" s="23">
        <v>8.2505000000000006</v>
      </c>
      <c r="E75" s="23">
        <v>0.26719999999999999</v>
      </c>
      <c r="F75" s="23">
        <v>8.2805599999999995</v>
      </c>
      <c r="G75" s="23">
        <v>0.28055999999999998</v>
      </c>
      <c r="H75" s="23">
        <v>0.28055999999999998</v>
      </c>
      <c r="I75" s="23">
        <v>0.33400000000000002</v>
      </c>
      <c r="J75" s="24">
        <v>0.33400000000000002</v>
      </c>
    </row>
    <row r="76" spans="2:10" ht="14.25" thickTop="1" thickBot="1" x14ac:dyDescent="0.45">
      <c r="B76" s="25" t="s">
        <v>6</v>
      </c>
      <c r="C76" s="26"/>
      <c r="D76" s="26"/>
      <c r="E76" s="26"/>
      <c r="F76" s="26"/>
      <c r="G76" s="26"/>
      <c r="H76" s="26"/>
      <c r="I76" s="26"/>
      <c r="J76" s="26"/>
    </row>
    <row r="77" spans="2:10" ht="14.25" thickTop="1" thickBot="1" x14ac:dyDescent="0.45">
      <c r="B77" s="27" t="s">
        <v>10</v>
      </c>
      <c r="C77" s="28">
        <f>SUM(C71:C75)</f>
        <v>138.34618269590192</v>
      </c>
      <c r="D77" s="28">
        <f t="shared" ref="D77:J77" si="17">SUM(D71:D75)</f>
        <v>111.35893073669624</v>
      </c>
      <c r="E77" s="28">
        <f t="shared" si="17"/>
        <v>103.22091545806346</v>
      </c>
      <c r="F77" s="28">
        <f t="shared" si="17"/>
        <v>91.665522267964079</v>
      </c>
      <c r="G77" s="28">
        <f t="shared" si="17"/>
        <v>78.496001317569309</v>
      </c>
      <c r="H77" s="28">
        <f t="shared" si="17"/>
        <v>74.590545975753855</v>
      </c>
      <c r="I77" s="28">
        <f t="shared" si="17"/>
        <v>76.482733617443671</v>
      </c>
      <c r="J77" s="29">
        <f t="shared" si="17"/>
        <v>76.371619511869881</v>
      </c>
    </row>
    <row r="78" spans="2:10" ht="14.25" thickTop="1" thickBot="1" x14ac:dyDescent="0.45">
      <c r="B78" s="25"/>
      <c r="C78" s="26"/>
      <c r="D78" s="26"/>
      <c r="E78" s="26"/>
      <c r="F78" s="26"/>
      <c r="G78" s="26"/>
      <c r="H78" s="26"/>
      <c r="I78" s="26"/>
      <c r="J78" s="26"/>
    </row>
    <row r="79" spans="2:10" ht="14.25" thickTop="1" thickBot="1" x14ac:dyDescent="0.45">
      <c r="B79" s="30" t="s">
        <v>11</v>
      </c>
      <c r="C79" s="31">
        <f>ROUND(C77,1)</f>
        <v>138.30000000000001</v>
      </c>
      <c r="D79" s="31">
        <f t="shared" ref="D79:J79" si="18">ROUND(D77,1)</f>
        <v>111.4</v>
      </c>
      <c r="E79" s="31">
        <f t="shared" si="18"/>
        <v>103.2</v>
      </c>
      <c r="F79" s="31">
        <f t="shared" si="18"/>
        <v>91.7</v>
      </c>
      <c r="G79" s="31">
        <f t="shared" si="18"/>
        <v>78.5</v>
      </c>
      <c r="H79" s="31">
        <f t="shared" si="18"/>
        <v>74.599999999999994</v>
      </c>
      <c r="I79" s="31">
        <f t="shared" si="18"/>
        <v>76.5</v>
      </c>
      <c r="J79" s="32">
        <f t="shared" si="18"/>
        <v>76.400000000000006</v>
      </c>
    </row>
    <row r="80" spans="2:10" ht="13.5" thickTop="1" x14ac:dyDescent="0.4"/>
  </sheetData>
  <mergeCells count="5">
    <mergeCell ref="B7:J7"/>
    <mergeCell ref="B22:J22"/>
    <mergeCell ref="B37:J37"/>
    <mergeCell ref="B67:J67"/>
    <mergeCell ref="B52:J52"/>
  </mergeCells>
  <pageMargins left="0.39370078740157483" right="0.39370078740157483" top="0.78740157480314965" bottom="0.62992125984251968" header="0.31496062992125984" footer="0.31496062992125984"/>
  <pageSetup paperSize="9" scale="85" orientation="landscape" r:id="rId1"/>
  <ignoredErrors>
    <ignoredError sqref="H29 H14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76CBD5-BD47-47AA-A98C-E3A441C69D07}">
          <x14:formula1>
            <xm:f>Lista!$A$1:$A$3</xm:f>
          </x14:formula1>
          <xm:sqref>C4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E95B-3670-40DF-8AC3-8B7E012DB2F9}">
  <dimension ref="A1:L65"/>
  <sheetViews>
    <sheetView showGridLines="0" topLeftCell="A22" workbookViewId="0">
      <selection activeCell="B30" sqref="B30"/>
    </sheetView>
  </sheetViews>
  <sheetFormatPr defaultRowHeight="12.75" x14ac:dyDescent="0.35"/>
  <cols>
    <col min="1" max="1" width="26.265625" bestFit="1" customWidth="1"/>
    <col min="2" max="5" width="13.59765625" customWidth="1"/>
    <col min="8" max="8" width="26.265625" bestFit="1" customWidth="1"/>
    <col min="9" max="12" width="13.59765625" customWidth="1"/>
  </cols>
  <sheetData>
    <row r="1" spans="1:12" ht="13.15" thickBot="1" x14ac:dyDescent="0.4"/>
    <row r="2" spans="1:12" ht="25.05" customHeight="1" thickTop="1" x14ac:dyDescent="0.35">
      <c r="A2" s="192" t="s">
        <v>27</v>
      </c>
      <c r="B2" s="193"/>
      <c r="C2" s="193"/>
      <c r="D2" s="193"/>
      <c r="E2" s="194"/>
      <c r="H2" s="192" t="s">
        <v>28</v>
      </c>
      <c r="I2" s="193"/>
      <c r="J2" s="193"/>
      <c r="K2" s="193"/>
      <c r="L2" s="194"/>
    </row>
    <row r="3" spans="1:12" ht="20" customHeight="1" x14ac:dyDescent="0.35">
      <c r="A3" s="34" t="s">
        <v>18</v>
      </c>
      <c r="B3" s="35">
        <f>[7]Pressupostos!$B$8</f>
        <v>2021</v>
      </c>
      <c r="C3" s="36">
        <f>B3+1</f>
        <v>2022</v>
      </c>
      <c r="D3" s="36">
        <f>C3+1</f>
        <v>2023</v>
      </c>
      <c r="E3" s="37">
        <f>D3+1</f>
        <v>2024</v>
      </c>
      <c r="H3" s="34" t="s">
        <v>18</v>
      </c>
      <c r="I3" s="35">
        <f>[7]Pressupostos!$B$8</f>
        <v>2021</v>
      </c>
      <c r="J3" s="36">
        <f>I3+1</f>
        <v>2022</v>
      </c>
      <c r="K3" s="36">
        <f>J3+1</f>
        <v>2023</v>
      </c>
      <c r="L3" s="37">
        <f>K3+1</f>
        <v>2024</v>
      </c>
    </row>
    <row r="4" spans="1:12" ht="20" customHeight="1" x14ac:dyDescent="0.35">
      <c r="A4" s="38" t="s">
        <v>19</v>
      </c>
      <c r="B4" s="150">
        <v>6159869.3648549644</v>
      </c>
      <c r="C4" s="39">
        <v>6356481.7531933067</v>
      </c>
      <c r="D4" s="39">
        <v>6563660.1153463507</v>
      </c>
      <c r="E4" s="40">
        <v>6779185.9165564897</v>
      </c>
      <c r="H4" s="38" t="s">
        <v>19</v>
      </c>
      <c r="I4" s="150">
        <v>6207449.0699967826</v>
      </c>
      <c r="J4" s="39">
        <v>6458291.4453647789</v>
      </c>
      <c r="K4" s="39">
        <v>6723629.4999158652</v>
      </c>
      <c r="L4" s="40">
        <v>7001502.6266590338</v>
      </c>
    </row>
    <row r="5" spans="1:12" ht="20" customHeight="1" x14ac:dyDescent="0.35">
      <c r="A5" s="38" t="s">
        <v>20</v>
      </c>
      <c r="B5" s="150">
        <v>5992688.9567084415</v>
      </c>
      <c r="C5" s="39">
        <v>6258532.4574699579</v>
      </c>
      <c r="D5" s="39">
        <v>6523693.8914506147</v>
      </c>
      <c r="E5" s="40">
        <v>6797440.396137883</v>
      </c>
      <c r="H5" s="38" t="s">
        <v>20</v>
      </c>
      <c r="I5" s="150">
        <v>6037450.2430803701</v>
      </c>
      <c r="J5" s="39">
        <v>6353822.9531976795</v>
      </c>
      <c r="K5" s="39">
        <v>6674108.95860771</v>
      </c>
      <c r="L5" s="40">
        <v>7007829.697021055</v>
      </c>
    </row>
    <row r="6" spans="1:12" ht="20" customHeight="1" x14ac:dyDescent="0.35">
      <c r="A6" s="38" t="s">
        <v>21</v>
      </c>
      <c r="B6" s="150">
        <v>38889.317701127671</v>
      </c>
      <c r="C6" s="39">
        <v>39310.728623991985</v>
      </c>
      <c r="D6" s="39">
        <v>39736.706023626975</v>
      </c>
      <c r="E6" s="40">
        <v>40167.29938311188</v>
      </c>
      <c r="H6" s="38" t="s">
        <v>21</v>
      </c>
      <c r="I6" s="150">
        <v>39208.105945135409</v>
      </c>
      <c r="J6" s="39">
        <v>39957.855520649726</v>
      </c>
      <c r="K6" s="39">
        <v>40721.942040334987</v>
      </c>
      <c r="L6" s="40">
        <v>41500.63965968907</v>
      </c>
    </row>
    <row r="7" spans="1:12" ht="20" customHeight="1" x14ac:dyDescent="0.35">
      <c r="A7" s="38" t="s">
        <v>22</v>
      </c>
      <c r="B7" s="150">
        <v>27467164.158330109</v>
      </c>
      <c r="C7" s="39">
        <v>27317909.982908532</v>
      </c>
      <c r="D7" s="39">
        <v>27306009.895495582</v>
      </c>
      <c r="E7" s="40">
        <v>27302715.492938217</v>
      </c>
      <c r="H7" s="38" t="s">
        <v>22</v>
      </c>
      <c r="I7" s="150">
        <v>27645403.430106133</v>
      </c>
      <c r="J7" s="39">
        <v>27693079.527826387</v>
      </c>
      <c r="K7" s="39">
        <v>27879256.108739402</v>
      </c>
      <c r="L7" s="40">
        <v>28075465.382792529</v>
      </c>
    </row>
    <row r="8" spans="1:12" ht="20" customHeight="1" x14ac:dyDescent="0.35">
      <c r="A8" s="38" t="s">
        <v>23</v>
      </c>
      <c r="B8" s="150">
        <v>10196649.882301887</v>
      </c>
      <c r="C8" s="39">
        <v>10379438.464937208</v>
      </c>
      <c r="D8" s="39">
        <v>10380671.475332493</v>
      </c>
      <c r="E8" s="40">
        <v>10380679.608491972</v>
      </c>
      <c r="H8" s="38" t="s">
        <v>23</v>
      </c>
      <c r="I8" s="150">
        <v>10583378.795978405</v>
      </c>
      <c r="J8" s="39">
        <v>11204863.687397754</v>
      </c>
      <c r="K8" s="39">
        <v>11663312.770515613</v>
      </c>
      <c r="L8" s="40">
        <v>12139142.994900279</v>
      </c>
    </row>
    <row r="9" spans="1:12" ht="20" customHeight="1" x14ac:dyDescent="0.35">
      <c r="A9" s="38" t="s">
        <v>24</v>
      </c>
      <c r="B9" s="150">
        <v>4681857.6348771844</v>
      </c>
      <c r="C9" s="39">
        <v>4474730.8914512042</v>
      </c>
      <c r="D9" s="39">
        <v>4487670.3979052119</v>
      </c>
      <c r="E9" s="40">
        <v>4488685.1152975112</v>
      </c>
      <c r="H9" s="38" t="s">
        <v>24</v>
      </c>
      <c r="I9" s="150">
        <v>4779147.6655910099</v>
      </c>
      <c r="J9" s="39">
        <v>4667223.457205262</v>
      </c>
      <c r="K9" s="39">
        <v>4777895.8906746516</v>
      </c>
      <c r="L9" s="40">
        <v>4878456.8426936492</v>
      </c>
    </row>
    <row r="10" spans="1:12" ht="20" customHeight="1" x14ac:dyDescent="0.35">
      <c r="A10" s="38" t="s">
        <v>25</v>
      </c>
      <c r="B10" s="150">
        <v>3496695.04</v>
      </c>
      <c r="C10" s="39">
        <v>3517675.2102399999</v>
      </c>
      <c r="D10" s="39">
        <v>3538781.2615014398</v>
      </c>
      <c r="E10" s="40">
        <v>3560013.9490704485</v>
      </c>
      <c r="H10" s="38" t="s">
        <v>25</v>
      </c>
      <c r="I10" s="150">
        <v>3539918.6646227832</v>
      </c>
      <c r="J10" s="39">
        <v>3605178.6480806796</v>
      </c>
      <c r="K10" s="39">
        <v>3671641.7285146411</v>
      </c>
      <c r="L10" s="40">
        <v>3739330.0855553867</v>
      </c>
    </row>
    <row r="11" spans="1:12" ht="20" customHeight="1" thickBot="1" x14ac:dyDescent="0.4">
      <c r="A11" s="41" t="s">
        <v>26</v>
      </c>
      <c r="B11" s="42">
        <v>32430200.68</v>
      </c>
      <c r="C11" s="43">
        <v>32624781.88408</v>
      </c>
      <c r="D11" s="43">
        <v>32820530.575384479</v>
      </c>
      <c r="E11" s="44">
        <v>33017453.758836791</v>
      </c>
      <c r="H11" s="41" t="s">
        <v>26</v>
      </c>
      <c r="I11" s="42">
        <v>33010968.458008636</v>
      </c>
      <c r="J11" s="43">
        <v>33803749.584655821</v>
      </c>
      <c r="K11" s="43">
        <v>34615569.895674936</v>
      </c>
      <c r="L11" s="44">
        <v>35446886.630182005</v>
      </c>
    </row>
    <row r="12" spans="1:12" ht="13.15" thickTop="1" x14ac:dyDescent="0.35"/>
    <row r="14" spans="1:12" ht="13.15" thickBot="1" x14ac:dyDescent="0.4"/>
    <row r="15" spans="1:12" ht="25.05" customHeight="1" thickTop="1" x14ac:dyDescent="0.35">
      <c r="A15" s="192" t="s">
        <v>29</v>
      </c>
      <c r="B15" s="193"/>
      <c r="C15" s="193"/>
      <c r="D15" s="193"/>
      <c r="E15" s="194"/>
    </row>
    <row r="16" spans="1:12" ht="20" customHeight="1" x14ac:dyDescent="0.35">
      <c r="A16" s="34" t="s">
        <v>18</v>
      </c>
      <c r="B16" s="35">
        <f>[7]Pressupostos!$B$8</f>
        <v>2021</v>
      </c>
      <c r="C16" s="36">
        <f>B16+1</f>
        <v>2022</v>
      </c>
      <c r="D16" s="36">
        <f>C16+1</f>
        <v>2023</v>
      </c>
      <c r="E16" s="37">
        <f>D16+1</f>
        <v>2024</v>
      </c>
    </row>
    <row r="17" spans="1:12" ht="20" customHeight="1" x14ac:dyDescent="0.35">
      <c r="A17" s="38" t="s">
        <v>19</v>
      </c>
      <c r="B17" s="150">
        <v>6112289.6597131463</v>
      </c>
      <c r="C17" s="39">
        <v>6255480.1189776128</v>
      </c>
      <c r="D17" s="39">
        <v>6406247.3235398019</v>
      </c>
      <c r="E17" s="40">
        <v>6562204.8382494003</v>
      </c>
    </row>
    <row r="18" spans="1:12" ht="20" customHeight="1" x14ac:dyDescent="0.35">
      <c r="A18" s="38" t="s">
        <v>20</v>
      </c>
      <c r="B18" s="150">
        <v>5947927.6703365138</v>
      </c>
      <c r="C18" s="39">
        <v>6163961.7594121322</v>
      </c>
      <c r="D18" s="39">
        <v>6375555.6790830884</v>
      </c>
      <c r="E18" s="40">
        <v>6591823.9802099029</v>
      </c>
    </row>
    <row r="19" spans="1:12" ht="20" customHeight="1" x14ac:dyDescent="0.35">
      <c r="A19" s="38" t="s">
        <v>21</v>
      </c>
      <c r="B19" s="150">
        <v>38570.529457119948</v>
      </c>
      <c r="C19" s="39">
        <v>38668.88478117661</v>
      </c>
      <c r="D19" s="39">
        <v>38767.490912518173</v>
      </c>
      <c r="E19" s="40">
        <v>38866.348490706296</v>
      </c>
    </row>
    <row r="20" spans="1:12" ht="20" customHeight="1" x14ac:dyDescent="0.35">
      <c r="A20" s="38" t="s">
        <v>22</v>
      </c>
      <c r="B20" s="150">
        <v>27288924.886554081</v>
      </c>
      <c r="C20" s="39">
        <v>26945292.279191632</v>
      </c>
      <c r="D20" s="39">
        <v>26740667.424924694</v>
      </c>
      <c r="E20" s="40">
        <v>26546018.945895974</v>
      </c>
    </row>
    <row r="21" spans="1:12" ht="20" customHeight="1" x14ac:dyDescent="0.35">
      <c r="A21" s="38" t="s">
        <v>23</v>
      </c>
      <c r="B21" s="150">
        <v>9809920.9686253741</v>
      </c>
      <c r="C21" s="39">
        <v>9585567.5316267554</v>
      </c>
      <c r="D21" s="39">
        <v>9195649.6593806725</v>
      </c>
      <c r="E21" s="40">
        <v>8820507.5307763834</v>
      </c>
    </row>
    <row r="22" spans="1:12" ht="20" customHeight="1" x14ac:dyDescent="0.35">
      <c r="A22" s="38" t="s">
        <v>24</v>
      </c>
      <c r="B22" s="150">
        <v>4584567.6041633571</v>
      </c>
      <c r="C22" s="39">
        <v>4286289.678815214</v>
      </c>
      <c r="D22" s="39">
        <v>4209439.3989335652</v>
      </c>
      <c r="E22" s="40">
        <v>4122746.4312629998</v>
      </c>
    </row>
    <row r="23" spans="1:12" ht="20" customHeight="1" x14ac:dyDescent="0.35">
      <c r="A23" s="38" t="s">
        <v>25</v>
      </c>
      <c r="B23" s="150">
        <v>3453471.4153772169</v>
      </c>
      <c r="C23" s="39">
        <v>3431246.7825985998</v>
      </c>
      <c r="D23" s="39">
        <v>3409165.1752696638</v>
      </c>
      <c r="E23" s="40">
        <v>3387225.6729576858</v>
      </c>
    </row>
    <row r="24" spans="1:12" ht="20" customHeight="1" thickBot="1" x14ac:dyDescent="0.4">
      <c r="A24" s="41" t="s">
        <v>26</v>
      </c>
      <c r="B24" s="42">
        <v>31849432.901991364</v>
      </c>
      <c r="C24" s="43">
        <v>31466740.045949068</v>
      </c>
      <c r="D24" s="43">
        <v>31088645.507952701</v>
      </c>
      <c r="E24" s="44">
        <v>30715094.03604624</v>
      </c>
    </row>
    <row r="25" spans="1:12" ht="13.15" thickTop="1" x14ac:dyDescent="0.35"/>
    <row r="27" spans="1:12" ht="13.15" thickBot="1" x14ac:dyDescent="0.4"/>
    <row r="28" spans="1:12" ht="25.05" customHeight="1" thickTop="1" x14ac:dyDescent="0.35">
      <c r="A28" s="192" t="s">
        <v>30</v>
      </c>
      <c r="B28" s="193"/>
      <c r="C28" s="193"/>
      <c r="D28" s="193"/>
      <c r="E28" s="194"/>
      <c r="H28" s="192" t="s">
        <v>31</v>
      </c>
      <c r="I28" s="193"/>
      <c r="J28" s="193"/>
      <c r="K28" s="193"/>
      <c r="L28" s="194"/>
    </row>
    <row r="29" spans="1:12" ht="20" customHeight="1" x14ac:dyDescent="0.35">
      <c r="A29" s="34" t="s">
        <v>18</v>
      </c>
      <c r="B29" s="35">
        <f>[7]Pressupostos!$B$8</f>
        <v>2021</v>
      </c>
      <c r="C29" s="36">
        <f>B29+1</f>
        <v>2022</v>
      </c>
      <c r="D29" s="36">
        <f>C29+1</f>
        <v>2023</v>
      </c>
      <c r="E29" s="37">
        <f>D29+1</f>
        <v>2024</v>
      </c>
      <c r="H29" s="34" t="s">
        <v>18</v>
      </c>
      <c r="I29" s="35">
        <f>[7]Pressupostos!$B$8</f>
        <v>2021</v>
      </c>
      <c r="J29" s="36">
        <f>I29+1</f>
        <v>2022</v>
      </c>
      <c r="K29" s="36">
        <f>J29+1</f>
        <v>2023</v>
      </c>
      <c r="L29" s="37">
        <f>K29+1</f>
        <v>2024</v>
      </c>
    </row>
    <row r="30" spans="1:12" ht="20" customHeight="1" x14ac:dyDescent="0.35">
      <c r="A30" s="38" t="s">
        <v>19</v>
      </c>
      <c r="B30" s="150">
        <f>B4*('Preço máximo de venda'!$C$19-'Preço máximo de venda'!$C$14)</f>
        <v>823389050.77240503</v>
      </c>
      <c r="C30" s="39">
        <f>C4*('Preço máximo de venda'!$C$19-'Preço máximo de venda'!$C$14)</f>
        <v>849670206.78646851</v>
      </c>
      <c r="D30" s="39">
        <f>D4*('Preço máximo de venda'!$C$19-'Preço máximo de venda'!$C$14)</f>
        <v>877363715.34154689</v>
      </c>
      <c r="E30" s="40">
        <f>E4*('Preço máximo de venda'!$C$19-'Preço máximo de venda'!$C$14)</f>
        <v>906173025.14410257</v>
      </c>
      <c r="H30" s="38" t="s">
        <v>19</v>
      </c>
      <c r="I30" s="150">
        <f>I4*('Preço máximo de venda'!$C$34-'Preço máximo de venda'!$C$29)</f>
        <v>916360346.77828646</v>
      </c>
      <c r="J30" s="39">
        <f>J4*('Preço máximo de venda'!$C$34-'Preço máximo de venda'!$C$29)</f>
        <v>953390373.68417382</v>
      </c>
      <c r="K30" s="39">
        <f>K4*('Preço máximo de venda'!$C$34-'Preço máximo de venda'!$C$29)</f>
        <v>992560291.78420842</v>
      </c>
      <c r="L30" s="40">
        <f>L4*('Preço máximo de venda'!$C$34-'Preço máximo de venda'!$C$29)</f>
        <v>1033580670.9949666</v>
      </c>
    </row>
    <row r="31" spans="1:12" ht="20" customHeight="1" x14ac:dyDescent="0.35">
      <c r="A31" s="38" t="s">
        <v>20</v>
      </c>
      <c r="B31" s="150">
        <f>B5*('Preço máximo de venda'!$D$19-'Preço máximo de venda'!$D$14)</f>
        <v>570310437.31218004</v>
      </c>
      <c r="C31" s="39">
        <f>C5*('Preço máximo de venda'!$D$19-'Preço máximo de venda'!$D$14)</f>
        <v>595610152.3935343</v>
      </c>
      <c r="D31" s="39">
        <f>D5*('Preço máximo de venda'!$D$19-'Preço máximo de venda'!$D$14)</f>
        <v>620844956.74668646</v>
      </c>
      <c r="E31" s="40">
        <f>E5*('Preço máximo de venda'!$D$19-'Preço máximo de venda'!$D$14)</f>
        <v>646896782.55121267</v>
      </c>
      <c r="H31" s="38" t="s">
        <v>20</v>
      </c>
      <c r="I31" s="150">
        <f>I5*('Preço máximo de venda'!$D$34-'Preço máximo de venda'!$D$29)</f>
        <v>602867434.88814676</v>
      </c>
      <c r="J31" s="39">
        <f>J5*('Preço máximo de venda'!$D$34-'Preço máximo de venda'!$D$29)</f>
        <v>634458718.71456563</v>
      </c>
      <c r="K31" s="39">
        <f>K5*('Preço máximo de venda'!$D$34-'Preço máximo de venda'!$D$29)</f>
        <v>666440763.24295247</v>
      </c>
      <c r="L31" s="40">
        <f>L5*('Preço máximo de venda'!$D$34-'Preço máximo de venda'!$D$29)</f>
        <v>699764328.23080778</v>
      </c>
    </row>
    <row r="32" spans="1:12" ht="20" customHeight="1" x14ac:dyDescent="0.35">
      <c r="A32" s="38" t="s">
        <v>21</v>
      </c>
      <c r="B32" s="150">
        <f>B6*('Preço máximo de venda'!$E$19-'Preço máximo de venda'!$E$14)</f>
        <v>3480952.3761219974</v>
      </c>
      <c r="C32" s="39">
        <f>C6*('Preço máximo de venda'!$E$19-'Preço máximo de venda'!$E$14)</f>
        <v>3518672.5378523166</v>
      </c>
      <c r="D32" s="39">
        <f>D6*('Preço máximo de venda'!$E$19-'Preço máximo de venda'!$E$14)</f>
        <v>3556801.4413427138</v>
      </c>
      <c r="E32" s="40">
        <f>E6*('Preço máximo de venda'!$E$19-'Preço máximo de venda'!$E$14)</f>
        <v>3595343.5157848648</v>
      </c>
      <c r="H32" s="38" t="s">
        <v>21</v>
      </c>
      <c r="I32" s="150">
        <f>I6*('Preço máximo de venda'!$E$34-'Preço máximo de venda'!$E$29)</f>
        <v>4174594.7740471833</v>
      </c>
      <c r="J32" s="39">
        <f>J6*('Preço máximo de venda'!$E$34-'Preço máximo de venda'!$E$29)</f>
        <v>4254422.6714765029</v>
      </c>
      <c r="K32" s="39">
        <f>K6*('Preço máximo de venda'!$E$34-'Preço máximo de venda'!$E$29)</f>
        <v>4335777.0627460396</v>
      </c>
      <c r="L32" s="40">
        <f>L6*('Preço máximo de venda'!$E$34-'Preço máximo de venda'!$E$29)</f>
        <v>4418687.1379449628</v>
      </c>
    </row>
    <row r="33" spans="1:12" ht="20" customHeight="1" x14ac:dyDescent="0.35">
      <c r="A33" s="38" t="s">
        <v>22</v>
      </c>
      <c r="B33" s="150">
        <f>B7*('Preço máximo de venda'!$F$19-'Preço máximo de venda'!$F$14)</f>
        <v>2203135705.3848019</v>
      </c>
      <c r="C33" s="39">
        <f>C7*('Preço máximo de venda'!$F$19-'Preço máximo de venda'!$F$14)</f>
        <v>2191164058.0333104</v>
      </c>
      <c r="D33" s="39">
        <f>D7*('Preço máximo de venda'!$F$19-'Preço máximo de venda'!$F$14)</f>
        <v>2190209554.4185386</v>
      </c>
      <c r="E33" s="40">
        <f>E7*('Preço máximo de venda'!$F$19-'Preço máximo de venda'!$F$14)</f>
        <v>2189945311.0528889</v>
      </c>
      <c r="H33" s="38" t="s">
        <v>22</v>
      </c>
      <c r="I33" s="150">
        <f>I7*('Preço máximo de venda'!$F$34-'Preço máximo de venda'!$F$29)</f>
        <v>2400266290.8675137</v>
      </c>
      <c r="J33" s="39">
        <f>J7*('Preço máximo de venda'!$F$34-'Preço máximo de venda'!$F$29)</f>
        <v>2404405688.9604859</v>
      </c>
      <c r="K33" s="39">
        <f>K7*('Preço máximo de venda'!$F$34-'Preço máximo de venda'!$F$29)</f>
        <v>2420570161.7432494</v>
      </c>
      <c r="L33" s="40">
        <f>L7*('Preço máximo de venda'!$F$34-'Preço máximo de venda'!$F$29)</f>
        <v>2437605706.4643092</v>
      </c>
    </row>
    <row r="34" spans="1:12" ht="20" customHeight="1" x14ac:dyDescent="0.35">
      <c r="A34" s="38" t="s">
        <v>23</v>
      </c>
      <c r="B34" s="150">
        <f>B8*('Preço máximo de venda'!$G$19-'Preço máximo de venda'!$G$14)</f>
        <v>692884588.07205832</v>
      </c>
      <c r="C34" s="39">
        <f>C8*('Preço máximo de venda'!$G$19-'Preço máximo de venda'!$G$14)</f>
        <v>705305470.73896015</v>
      </c>
      <c r="D34" s="39">
        <f>D8*('Preço máximo de venda'!$G$19-'Preço máximo de venda'!$G$14)</f>
        <v>705389256.48326707</v>
      </c>
      <c r="E34" s="40">
        <f>E8*('Preço máximo de venda'!$G$19-'Preço máximo de venda'!$G$14)</f>
        <v>705389809.14918387</v>
      </c>
      <c r="H34" s="38" t="s">
        <v>23</v>
      </c>
      <c r="I34" s="150">
        <f>I8*('Preço máximo de venda'!$G$34-'Preço máximo de venda'!$G$29)</f>
        <v>750493772.98579466</v>
      </c>
      <c r="J34" s="39">
        <f>J8*('Preço máximo de venda'!$G$34-'Preço máximo de venda'!$G$29)</f>
        <v>794564815.89245224</v>
      </c>
      <c r="K34" s="39">
        <f>K8*('Preço máximo de venda'!$G$34-'Preço máximo de venda'!$G$29)</f>
        <v>827074583.21191561</v>
      </c>
      <c r="L34" s="40">
        <f>L8*('Preço máximo de venda'!$G$34-'Preço máximo de venda'!$G$29)</f>
        <v>860816890.58683658</v>
      </c>
    </row>
    <row r="35" spans="1:12" ht="20" customHeight="1" x14ac:dyDescent="0.35">
      <c r="A35" s="38" t="s">
        <v>24</v>
      </c>
      <c r="B35" s="150">
        <f>B9*('Preço máximo de venda'!$H$19-'Preço máximo de venda'!$H$14)</f>
        <v>349266579.56183791</v>
      </c>
      <c r="C35" s="39">
        <f>C9*('Preço máximo de venda'!$H$19-'Preço máximo de venda'!$H$14)</f>
        <v>333814924.50225979</v>
      </c>
      <c r="D35" s="39">
        <f>D9*('Preço máximo de venda'!$H$19-'Preço máximo de venda'!$H$14)</f>
        <v>334780211.68372875</v>
      </c>
      <c r="E35" s="40">
        <f>E9*('Preço máximo de venda'!$H$19-'Preço máximo de venda'!$H$14)</f>
        <v>334855909.60119432</v>
      </c>
      <c r="H35" s="38" t="s">
        <v>24</v>
      </c>
      <c r="I35" s="150">
        <f>I9*('Preço máximo de venda'!$H$34-'Preço máximo de venda'!$H$29)</f>
        <v>386155131.37975359</v>
      </c>
      <c r="J35" s="39">
        <f>J9*('Preço máximo de venda'!$H$34-'Preço máximo de venda'!$H$29)</f>
        <v>377111655.34218514</v>
      </c>
      <c r="K35" s="39">
        <f>K9*('Preço máximo de venda'!$H$34-'Preço máximo de venda'!$H$29)</f>
        <v>386053987.96651185</v>
      </c>
      <c r="L35" s="40">
        <f>L9*('Preço máximo de venda'!$H$34-'Preço máximo de venda'!$H$29)</f>
        <v>394179312.88964683</v>
      </c>
    </row>
    <row r="36" spans="1:12" ht="20" customHeight="1" x14ac:dyDescent="0.35">
      <c r="A36" s="38" t="s">
        <v>25</v>
      </c>
      <c r="B36" s="150">
        <f>B10*('Preço máximo de venda'!$J$19-'Preço máximo de venda'!$J$14)</f>
        <v>231561249.28129548</v>
      </c>
      <c r="C36" s="39">
        <f>C10*('Preço máximo de venda'!$J$19-'Preço máximo de venda'!$J$14)</f>
        <v>232950616.77698326</v>
      </c>
      <c r="D36" s="39">
        <f>D10*('Preço máximo de venda'!$J$19-'Preço máximo de venda'!$J$14)</f>
        <v>234348320.47764513</v>
      </c>
      <c r="E36" s="40">
        <f>E10*('Preço máximo de venda'!$J$19-'Preço máximo de venda'!$J$14)</f>
        <v>235754410.40051103</v>
      </c>
      <c r="H36" s="38" t="s">
        <v>25</v>
      </c>
      <c r="I36" s="150">
        <f>I10*('Preço máximo de venda'!$J$34-'Preço máximo de venda'!$J$29)</f>
        <v>241178173.94284251</v>
      </c>
      <c r="J36" s="39">
        <f>J10*('Preço máximo de venda'!$J$34-'Preço máximo de venda'!$J$29)</f>
        <v>245624401.42236364</v>
      </c>
      <c r="K36" s="39">
        <f>K10*('Preço máximo de venda'!$J$34-'Preço máximo de venda'!$J$29)</f>
        <v>250152597.09360152</v>
      </c>
      <c r="L36" s="40">
        <f>L10*('Preço máximo de venda'!$J$34-'Preço máximo de venda'!$J$29)</f>
        <v>254764272.07682258</v>
      </c>
    </row>
    <row r="37" spans="1:12" ht="20" customHeight="1" thickBot="1" x14ac:dyDescent="0.4">
      <c r="A37" s="41" t="s">
        <v>26</v>
      </c>
      <c r="B37" s="42">
        <f>B11*('Preço máximo de venda'!$I$19-'Preço máximo de venda'!$I$14)</f>
        <v>2147408740.85358</v>
      </c>
      <c r="C37" s="43">
        <f>C11*('Preço máximo de venda'!$I$19-'Preço máximo de venda'!$I$14)</f>
        <v>2160293193.2987013</v>
      </c>
      <c r="D37" s="43">
        <f>D11*('Preço máximo de venda'!$I$19-'Preço máximo de venda'!$I$14)</f>
        <v>2173254952.4584937</v>
      </c>
      <c r="E37" s="44">
        <f>E11*('Preço máximo de venda'!$I$19-'Preço máximo de venda'!$I$14)</f>
        <v>2186294482.173245</v>
      </c>
      <c r="H37" s="41" t="s">
        <v>26</v>
      </c>
      <c r="I37" s="42">
        <f>I11*('Preço máximo de venda'!$I$34-'Preço máximo de venda'!$I$29)</f>
        <v>2248853395.233882</v>
      </c>
      <c r="J37" s="43">
        <f>J11*('Preço máximo de venda'!$I$34-'Preço máximo de venda'!$I$29)</f>
        <v>2302861157.2480659</v>
      </c>
      <c r="K37" s="43">
        <f>K11*('Preço máximo de venda'!$I$34-'Preço máximo de venda'!$I$29)</f>
        <v>2358165952.8367653</v>
      </c>
      <c r="L37" s="44">
        <f>L11*('Preço máximo de venda'!$I$34-'Preço máximo de venda'!$I$29)</f>
        <v>2414798931.1539283</v>
      </c>
    </row>
    <row r="38" spans="1:12" ht="20" customHeight="1" thickTop="1" thickBot="1" x14ac:dyDescent="0.45">
      <c r="A38" s="151" t="s">
        <v>33</v>
      </c>
      <c r="B38" s="45">
        <f>SUM(B30:B37)</f>
        <v>7021437303.6142807</v>
      </c>
      <c r="C38" s="46">
        <f t="shared" ref="C38:E38" si="0">SUM(C30:C37)</f>
        <v>7072327295.0680704</v>
      </c>
      <c r="D38" s="46">
        <f t="shared" si="0"/>
        <v>7139747769.0512505</v>
      </c>
      <c r="E38" s="47">
        <f t="shared" si="0"/>
        <v>7208905073.5881233</v>
      </c>
      <c r="H38" s="151" t="s">
        <v>33</v>
      </c>
      <c r="I38" s="45">
        <f>SUM(I30:I37)</f>
        <v>7550349140.8502665</v>
      </c>
      <c r="J38" s="46">
        <f t="shared" ref="J38:L38" si="1">SUM(J30:J37)</f>
        <v>7716671233.9357681</v>
      </c>
      <c r="K38" s="46">
        <f t="shared" si="1"/>
        <v>7905354114.9419508</v>
      </c>
      <c r="L38" s="47">
        <f t="shared" si="1"/>
        <v>8099928799.5352631</v>
      </c>
    </row>
    <row r="39" spans="1:12" ht="13.15" thickTop="1" x14ac:dyDescent="0.35"/>
    <row r="40" spans="1:12" ht="13.15" thickBot="1" x14ac:dyDescent="0.4"/>
    <row r="41" spans="1:12" ht="25.05" customHeight="1" thickTop="1" x14ac:dyDescent="0.35">
      <c r="A41" s="192" t="s">
        <v>32</v>
      </c>
      <c r="B41" s="193"/>
      <c r="C41" s="193"/>
      <c r="D41" s="193"/>
      <c r="E41" s="194"/>
      <c r="H41" s="192" t="s">
        <v>170</v>
      </c>
      <c r="I41" s="193"/>
      <c r="J41" s="193"/>
      <c r="K41" s="193"/>
      <c r="L41" s="194"/>
    </row>
    <row r="42" spans="1:12" ht="20" customHeight="1" x14ac:dyDescent="0.35">
      <c r="A42" s="34" t="s">
        <v>18</v>
      </c>
      <c r="B42" s="35">
        <f>[7]Pressupostos!$B$8</f>
        <v>2021</v>
      </c>
      <c r="C42" s="36">
        <f>B42+1</f>
        <v>2022</v>
      </c>
      <c r="D42" s="36">
        <f>C42+1</f>
        <v>2023</v>
      </c>
      <c r="E42" s="37">
        <f>D42+1</f>
        <v>2024</v>
      </c>
      <c r="H42" s="34" t="s">
        <v>18</v>
      </c>
      <c r="I42" s="35">
        <f>[7]Pressupostos!$B$8</f>
        <v>2021</v>
      </c>
      <c r="J42" s="36">
        <f>I42+1</f>
        <v>2022</v>
      </c>
      <c r="K42" s="36">
        <f>J42+1</f>
        <v>2023</v>
      </c>
      <c r="L42" s="37">
        <f>K42+1</f>
        <v>2024</v>
      </c>
    </row>
    <row r="43" spans="1:12" ht="20" customHeight="1" x14ac:dyDescent="0.35">
      <c r="A43" s="38" t="s">
        <v>19</v>
      </c>
      <c r="B43" s="150">
        <f>B17*('Preço máximo de venda'!$C$49-'Preço máximo de venda'!$C$44)</f>
        <v>744278453.43795693</v>
      </c>
      <c r="C43" s="39">
        <f>C17*('Preço máximo de venda'!$C$49-'Preço máximo de venda'!$C$44)</f>
        <v>761714402.89415956</v>
      </c>
      <c r="D43" s="39">
        <f>D17*('Preço máximo de venda'!$C$49-'Preço máximo de venda'!$C$44)</f>
        <v>780072953.95896232</v>
      </c>
      <c r="E43" s="40">
        <f>E17*('Preço máximo de venda'!$C$49-'Preço máximo de venda'!$C$44)</f>
        <v>799063516.30340707</v>
      </c>
      <c r="H43" s="38" t="s">
        <v>19</v>
      </c>
      <c r="I43" s="150">
        <f>B4*('Preço máximo de venda'!$C$64-'Preço máximo de venda'!$C$59)</f>
        <v>842026389.01141262</v>
      </c>
      <c r="J43" s="39">
        <f>C4*('Preço máximo de venda'!$C$64-'Preço máximo de venda'!$C$59)</f>
        <v>868902416.66420722</v>
      </c>
      <c r="K43" s="39">
        <f>D4*('Preço máximo de venda'!$C$64-'Preço máximo de venda'!$C$59)</f>
        <v>897222765.33269453</v>
      </c>
      <c r="L43" s="40">
        <f>E4*('Preço máximo de venda'!$C$64-'Preço máximo de venda'!$C$59)</f>
        <v>926684171.31107247</v>
      </c>
    </row>
    <row r="44" spans="1:12" ht="20" customHeight="1" x14ac:dyDescent="0.35">
      <c r="A44" s="38" t="s">
        <v>20</v>
      </c>
      <c r="B44" s="150">
        <f>B18*('Preço máximo de venda'!$D$49-'Preço máximo de venda'!$D$44)</f>
        <v>543254648.34712303</v>
      </c>
      <c r="C44" s="39">
        <f>C18*('Preço máximo de venda'!$D$49-'Preço máximo de venda'!$D$44)</f>
        <v>562986146.37408638</v>
      </c>
      <c r="D44" s="39">
        <f>D18*('Preço máximo de venda'!$D$49-'Preço máximo de venda'!$D$44)</f>
        <v>582312101.02489865</v>
      </c>
      <c r="E44" s="40">
        <f>E18*('Preço máximo de venda'!$D$49-'Preço máximo de venda'!$D$44)</f>
        <v>602064990.83612096</v>
      </c>
      <c r="H44" s="38" t="s">
        <v>20</v>
      </c>
      <c r="I44" s="150">
        <f>B5*('Preço máximo de venda'!$D$64-'Preço máximo de venda'!$D$59)</f>
        <v>576559752.51143825</v>
      </c>
      <c r="J44" s="39">
        <f>C5*('Preço máximo de venda'!$D$64-'Preço máximo de venda'!$D$59)</f>
        <v>602136695.36849284</v>
      </c>
      <c r="K44" s="39">
        <f>D5*('Preço máximo de venda'!$D$64-'Preço máximo de venda'!$D$59)</f>
        <v>627648016.22226822</v>
      </c>
      <c r="L44" s="40">
        <f>E5*('Preço máximo de venda'!$D$64-'Preço máximo de venda'!$D$59)</f>
        <v>653985311.2385031</v>
      </c>
    </row>
    <row r="45" spans="1:12" ht="20" customHeight="1" x14ac:dyDescent="0.35">
      <c r="A45" s="38" t="s">
        <v>21</v>
      </c>
      <c r="B45" s="150">
        <f>B19*('Preço máximo de venda'!$E$49-'Preço máximo de venda'!$E$44)</f>
        <v>3013002.9757081345</v>
      </c>
      <c r="C45" s="39">
        <f>C19*('Preço máximo de venda'!$E$49-'Preço máximo de venda'!$E$44)</f>
        <v>3020686.1703189034</v>
      </c>
      <c r="D45" s="39">
        <f>D19*('Preço máximo de venda'!$E$49-'Preço máximo de venda'!$E$44)</f>
        <v>3028388.9571703388</v>
      </c>
      <c r="E45" s="40">
        <f>E19*('Preço máximo de venda'!$E$49-'Preço máximo de venda'!$E$44)</f>
        <v>3036111.3862228943</v>
      </c>
      <c r="H45" s="38" t="s">
        <v>21</v>
      </c>
      <c r="I45" s="150">
        <f>B6*('Preço máximo de venda'!$E$64-'Preço máximo de venda'!$E$59)</f>
        <v>3636891.105406336</v>
      </c>
      <c r="J45" s="39">
        <f>C6*('Preço máximo de venda'!$E$64-'Preço máximo de venda'!$E$59)</f>
        <v>3676301.0443737623</v>
      </c>
      <c r="K45" s="39">
        <f>D6*('Preço máximo de venda'!$E$64-'Preço máximo de venda'!$E$59)</f>
        <v>3716138.0358001171</v>
      </c>
      <c r="L45" s="40">
        <f>E6*('Preço máximo de venda'!$E$64-'Preço máximo de venda'!$E$59)</f>
        <v>3756406.7072947645</v>
      </c>
    </row>
    <row r="46" spans="1:12" ht="20" customHeight="1" x14ac:dyDescent="0.35">
      <c r="A46" s="38" t="s">
        <v>22</v>
      </c>
      <c r="B46" s="150">
        <f>B20*('Preço máximo de venda'!$F$49-'Preço máximo de venda'!$F$44)</f>
        <v>2093992291.4879639</v>
      </c>
      <c r="C46" s="39">
        <f>C20*('Preço máximo de venda'!$F$49-'Preço máximo de venda'!$F$44)</f>
        <v>2067623937.5160773</v>
      </c>
      <c r="D46" s="39">
        <f>D20*('Preço máximo de venda'!$F$49-'Preço máximo de venda'!$F$44)</f>
        <v>2051922224.4854941</v>
      </c>
      <c r="E46" s="40">
        <f>E20*('Preço máximo de venda'!$F$49-'Preço máximo de venda'!$F$44)</f>
        <v>2036986040.0689058</v>
      </c>
      <c r="H46" s="38" t="s">
        <v>22</v>
      </c>
      <c r="I46" s="150">
        <f>B7*('Preço máximo de venda'!$F$64-'Preço máximo de venda'!$F$59)</f>
        <v>2248634987.9922242</v>
      </c>
      <c r="J46" s="39">
        <f>C7*('Preço máximo de venda'!$F$64-'Preço máximo de venda'!$F$59)</f>
        <v>2236416101.5057173</v>
      </c>
      <c r="K46" s="39">
        <f>D7*('Preço máximo de venda'!$F$64-'Preço máximo de venda'!$F$59)</f>
        <v>2235441885.4285612</v>
      </c>
      <c r="L46" s="40">
        <f>E7*('Preço máximo de venda'!$F$64-'Preço máximo de venda'!$F$59)</f>
        <v>2235172184.8940496</v>
      </c>
    </row>
    <row r="47" spans="1:12" ht="20" customHeight="1" x14ac:dyDescent="0.35">
      <c r="A47" s="38" t="s">
        <v>23</v>
      </c>
      <c r="B47" s="150">
        <f>B21*('Preço máximo de venda'!$G$49-'Preço máximo de venda'!$G$44)</f>
        <v>633361242.35715413</v>
      </c>
      <c r="C47" s="39">
        <f>C21*('Preço máximo de venda'!$G$49-'Preço máximo de venda'!$G$44)</f>
        <v>618876235.59318483</v>
      </c>
      <c r="D47" s="39">
        <f>D21*('Preço máximo de venda'!$G$49-'Preço máximo de venda'!$G$44)</f>
        <v>593701836.25063419</v>
      </c>
      <c r="E47" s="40">
        <f>E21*('Preço máximo de venda'!$G$49-'Preço máximo de venda'!$G$44)</f>
        <v>569481408.23768413</v>
      </c>
      <c r="H47" s="38" t="s">
        <v>23</v>
      </c>
      <c r="I47" s="150">
        <f>B8*('Preço máximo de venda'!$G$64-'Preço máximo de venda'!$G$59)</f>
        <v>698178787.03604567</v>
      </c>
      <c r="J47" s="39">
        <f>C8*('Preço máximo de venda'!$G$64-'Preço máximo de venda'!$G$59)</f>
        <v>710694575.29801905</v>
      </c>
      <c r="K47" s="39">
        <f>D8*('Preço máximo de venda'!$G$64-'Preço máximo de venda'!$G$59)</f>
        <v>710779001.23321533</v>
      </c>
      <c r="L47" s="40">
        <f>E8*('Preço máximo de venda'!$G$64-'Preço máximo de venda'!$G$59)</f>
        <v>710779558.12194693</v>
      </c>
    </row>
    <row r="48" spans="1:12" ht="20" customHeight="1" x14ac:dyDescent="0.35">
      <c r="A48" s="38" t="s">
        <v>24</v>
      </c>
      <c r="B48" s="150">
        <f>B22*('Preço máximo de venda'!$H$49-'Preço máximo de venda'!$H$44)</f>
        <v>303498375.39561427</v>
      </c>
      <c r="C48" s="39">
        <f>C22*('Preço máximo de venda'!$H$49-'Preço máximo de venda'!$H$44)</f>
        <v>283752376.73756719</v>
      </c>
      <c r="D48" s="39">
        <f>D22*('Preço máximo de venda'!$H$49-'Preço máximo de venda'!$H$44)</f>
        <v>278664888.20940202</v>
      </c>
      <c r="E48" s="40">
        <f>E22*('Preço máximo de venda'!$H$49-'Preço máximo de venda'!$H$44)</f>
        <v>272925813.7496106</v>
      </c>
      <c r="H48" s="38" t="s">
        <v>24</v>
      </c>
      <c r="I48" s="150">
        <f>B9*('Preço máximo de venda'!$H$64-'Preço máximo de venda'!$H$59)</f>
        <v>353948437.19671512</v>
      </c>
      <c r="J48" s="39">
        <f>C9*('Preço máximo de venda'!$H$64-'Preço máximo de venda'!$H$59)</f>
        <v>338289655.39371103</v>
      </c>
      <c r="K48" s="39">
        <f>D9*('Preço máximo de venda'!$H$64-'Preço máximo de venda'!$H$59)</f>
        <v>339267882.08163399</v>
      </c>
      <c r="L48" s="40">
        <f>E9*('Preço máximo de venda'!$H$64-'Preço máximo de venda'!$H$59)</f>
        <v>339344594.71649182</v>
      </c>
    </row>
    <row r="49" spans="1:12" ht="20" customHeight="1" x14ac:dyDescent="0.35">
      <c r="A49" s="38" t="s">
        <v>25</v>
      </c>
      <c r="B49" s="150">
        <f>B23*('Preço máximo de venda'!$J$49-'Preço máximo de venda'!$J$44)</f>
        <v>221165388.36299315</v>
      </c>
      <c r="C49" s="39">
        <f>C23*('Preço máximo de venda'!$J$49-'Preço máximo de venda'!$J$44)</f>
        <v>219742090.1947149</v>
      </c>
      <c r="D49" s="39">
        <f>D23*('Preço máximo de venda'!$J$49-'Preço máximo de venda'!$J$44)</f>
        <v>218327951.58657765</v>
      </c>
      <c r="E49" s="40">
        <f>E23*('Preço máximo de venda'!$J$49-'Preço máximo de venda'!$J$44)</f>
        <v>216922913.59271622</v>
      </c>
      <c r="H49" s="38" t="s">
        <v>25</v>
      </c>
      <c r="I49" s="150">
        <f>B10*('Preço máximo de venda'!$J$64-'Preço máximo de venda'!$J$59)</f>
        <v>232765123.54573658</v>
      </c>
      <c r="J49" s="39">
        <f>C10*('Preço máximo de venda'!$J$64-'Preço máximo de venda'!$J$59)</f>
        <v>234161714.287011</v>
      </c>
      <c r="K49" s="39">
        <f>D10*('Preço máximo de venda'!$J$64-'Preço máximo de venda'!$J$59)</f>
        <v>235566684.57273307</v>
      </c>
      <c r="L49" s="40">
        <f>E10*('Preço máximo de venda'!$J$64-'Preço máximo de venda'!$J$59)</f>
        <v>236980084.68016946</v>
      </c>
    </row>
    <row r="50" spans="1:12" ht="20" customHeight="1" thickBot="1" x14ac:dyDescent="0.4">
      <c r="A50" s="41" t="s">
        <v>26</v>
      </c>
      <c r="B50" s="42">
        <f>B24*('Preço máximo de venda'!$I$49-'Preço máximo de venda'!$I$44)</f>
        <v>2042660422.7177994</v>
      </c>
      <c r="C50" s="43">
        <f>C24*('Preço máximo de venda'!$I$49-'Preço máximo de venda'!$I$44)</f>
        <v>2018116451.9193254</v>
      </c>
      <c r="D50" s="43">
        <f>D24*('Preço máximo de venda'!$I$49-'Preço máximo de venda'!$I$44)</f>
        <v>1993867393.8218839</v>
      </c>
      <c r="E50" s="44">
        <f>E24*('Preço máximo de venda'!$I$49-'Preço máximo de venda'!$I$44)</f>
        <v>1969909704.8464046</v>
      </c>
      <c r="H50" s="41" t="s">
        <v>26</v>
      </c>
      <c r="I50" s="42">
        <f>B11*('Preço máximo de venda'!$I$64-'Preço máximo de venda'!$I$59)</f>
        <v>2158574108.0196319</v>
      </c>
      <c r="J50" s="43">
        <f>C11*('Preço máximo de venda'!$I$64-'Preço máximo de venda'!$I$59)</f>
        <v>2171525552.6677499</v>
      </c>
      <c r="K50" s="43">
        <f>D11*('Preço máximo de venda'!$I$64-'Preço máximo de venda'!$I$59)</f>
        <v>2184554705.9837561</v>
      </c>
      <c r="L50" s="44">
        <f>E11*('Preço máximo de venda'!$I$64-'Preço máximo de venda'!$I$59)</f>
        <v>2197662034.2196589</v>
      </c>
    </row>
    <row r="51" spans="1:12" ht="20" customHeight="1" thickTop="1" thickBot="1" x14ac:dyDescent="0.45">
      <c r="A51" s="151" t="s">
        <v>33</v>
      </c>
      <c r="B51" s="45">
        <f>SUM(B43:B50)</f>
        <v>6585223825.0823135</v>
      </c>
      <c r="C51" s="46">
        <f t="shared" ref="C51:E51" si="2">SUM(C43:C50)</f>
        <v>6535832327.399435</v>
      </c>
      <c r="D51" s="46">
        <f t="shared" si="2"/>
        <v>6501897738.295023</v>
      </c>
      <c r="E51" s="47">
        <f t="shared" si="2"/>
        <v>6470390499.0210724</v>
      </c>
      <c r="H51" s="151" t="s">
        <v>33</v>
      </c>
      <c r="I51" s="45">
        <f>SUM(I43:I50)</f>
        <v>7114324476.4186115</v>
      </c>
      <c r="J51" s="46">
        <f t="shared" ref="J51:L51" si="3">SUM(J43:J50)</f>
        <v>7165803012.2292824</v>
      </c>
      <c r="K51" s="46">
        <f t="shared" si="3"/>
        <v>7234197078.8906622</v>
      </c>
      <c r="L51" s="47">
        <f t="shared" si="3"/>
        <v>7304364345.8891869</v>
      </c>
    </row>
    <row r="52" spans="1:12" ht="13.15" thickTop="1" x14ac:dyDescent="0.35"/>
    <row r="53" spans="1:12" ht="13.15" thickBot="1" x14ac:dyDescent="0.4"/>
    <row r="54" spans="1:12" ht="25.05" customHeight="1" thickTop="1" x14ac:dyDescent="0.35">
      <c r="A54" s="192" t="s">
        <v>105</v>
      </c>
      <c r="B54" s="193"/>
      <c r="C54" s="193"/>
      <c r="D54" s="193"/>
      <c r="E54" s="194"/>
    </row>
    <row r="55" spans="1:12" ht="20" customHeight="1" x14ac:dyDescent="0.35">
      <c r="A55" s="34" t="s">
        <v>18</v>
      </c>
      <c r="B55" s="35">
        <f>[7]Pressupostos!$B$8</f>
        <v>2021</v>
      </c>
      <c r="C55" s="36">
        <f>B55+1</f>
        <v>2022</v>
      </c>
      <c r="D55" s="36">
        <f>C55+1</f>
        <v>2023</v>
      </c>
      <c r="E55" s="37">
        <f>D55+1</f>
        <v>2024</v>
      </c>
    </row>
    <row r="56" spans="1:12" ht="20" customHeight="1" x14ac:dyDescent="0.35">
      <c r="A56" s="38" t="s">
        <v>19</v>
      </c>
      <c r="B56" s="150">
        <f>B4*('Preço máximo de venda'!$C$79-'Preço máximo de venda'!$C$74)</f>
        <v>831195113.79435742</v>
      </c>
      <c r="C56" s="39">
        <f>C4*('Preço máximo de venda'!$C$79-'Preço máximo de venda'!$C$74)</f>
        <v>857725425.8543303</v>
      </c>
      <c r="D56" s="39">
        <f>D4*('Preço máximo de venda'!$C$79-'Preço máximo de venda'!$C$74)</f>
        <v>885681480.13172209</v>
      </c>
      <c r="E56" s="40">
        <f>E4*('Preço máximo de venda'!$C$79-'Preço máximo de venda'!$C$74)</f>
        <v>914763913.90614343</v>
      </c>
    </row>
    <row r="57" spans="1:12" ht="20" customHeight="1" x14ac:dyDescent="0.35">
      <c r="A57" s="38" t="s">
        <v>20</v>
      </c>
      <c r="B57" s="150">
        <f>B5*('Preço máximo de venda'!$D$79-'Preço máximo de venda'!$D$74)</f>
        <v>586990320.9661026</v>
      </c>
      <c r="C57" s="39">
        <f>C5*('Preço máximo de venda'!$D$79-'Preço máximo de venda'!$D$74)</f>
        <v>613029977.44853508</v>
      </c>
      <c r="D57" s="39">
        <f>D5*('Preço máximo de venda'!$D$79-'Preço máximo de venda'!$D$74)</f>
        <v>639002824.75707102</v>
      </c>
      <c r="E57" s="40">
        <f>E5*('Preço máximo de venda'!$D$79-'Preço máximo de venda'!$D$74)</f>
        <v>665816588.96384668</v>
      </c>
    </row>
    <row r="58" spans="1:12" ht="20" customHeight="1" x14ac:dyDescent="0.35">
      <c r="A58" s="38" t="s">
        <v>21</v>
      </c>
      <c r="B58" s="150">
        <f>B6*('Preço máximo de venda'!$E$79-'Preço máximo de venda'!$E$74)</f>
        <v>3491142.8368920111</v>
      </c>
      <c r="C58" s="39">
        <f>C6*('Preço máximo de venda'!$E$79-'Preço máximo de venda'!$E$74)</f>
        <v>3528973.4240998481</v>
      </c>
      <c r="D58" s="39">
        <f>D6*('Preço máximo de venda'!$E$79-'Preço máximo de venda'!$E$74)</f>
        <v>3567213.9496560595</v>
      </c>
      <c r="E58" s="40">
        <f>E6*('Preço máximo de venda'!$E$79-'Preço máximo de venda'!$E$74)</f>
        <v>3605868.855718744</v>
      </c>
    </row>
    <row r="59" spans="1:12" ht="20" customHeight="1" x14ac:dyDescent="0.35">
      <c r="A59" s="38" t="s">
        <v>22</v>
      </c>
      <c r="B59" s="150">
        <f>B7*('Preço máximo de venda'!$F$79-'Preço máximo de venda'!$F$74)</f>
        <v>2219997851.5427408</v>
      </c>
      <c r="C59" s="39">
        <f>C7*('Preço máximo de venda'!$F$79-'Preço máximo de venda'!$F$74)</f>
        <v>2207934576.7590866</v>
      </c>
      <c r="D59" s="39">
        <f>D7*('Preço máximo de venda'!$F$79-'Preço máximo de venda'!$F$74)</f>
        <v>2206972767.6572208</v>
      </c>
      <c r="E59" s="40">
        <f>E7*('Preço máximo de venda'!$F$79-'Preço máximo de venda'!$F$74)</f>
        <v>2206706501.8513551</v>
      </c>
    </row>
    <row r="60" spans="1:12" ht="20" customHeight="1" x14ac:dyDescent="0.35">
      <c r="A60" s="38" t="s">
        <v>23</v>
      </c>
      <c r="B60" s="150">
        <f>B8*('Preço máximo de venda'!$G$79-'Preço máximo de venda'!$G$74)</f>
        <v>696410650.0426569</v>
      </c>
      <c r="C60" s="39">
        <f>C8*('Preço máximo de venda'!$G$79-'Preço máximo de venda'!$G$74)</f>
        <v>708894742.08492506</v>
      </c>
      <c r="D60" s="39">
        <f>D8*('Preço máximo de venda'!$G$79-'Preço máximo de venda'!$G$74)</f>
        <v>708978954.21153545</v>
      </c>
      <c r="E60" s="40">
        <f>E8*('Preço máximo de venda'!$G$79-'Preço máximo de venda'!$G$74)</f>
        <v>708979509.68994701</v>
      </c>
    </row>
    <row r="61" spans="1:12" ht="20" customHeight="1" x14ac:dyDescent="0.35">
      <c r="A61" s="38" t="s">
        <v>24</v>
      </c>
      <c r="B61" s="150">
        <f>B9*('Preço máximo de venda'!$H$79-'Preço máximo de venda'!$H$74)</f>
        <v>349266579.56183791</v>
      </c>
      <c r="C61" s="39">
        <f>C9*('Preço máximo de venda'!$H$79-'Preço máximo de venda'!$H$74)</f>
        <v>333814924.50225979</v>
      </c>
      <c r="D61" s="39">
        <f>D9*('Preço máximo de venda'!$H$79-'Preço máximo de venda'!$H$74)</f>
        <v>334780211.68372875</v>
      </c>
      <c r="E61" s="40">
        <f>E9*('Preço máximo de venda'!$H$79-'Preço máximo de venda'!$H$74)</f>
        <v>334855909.60119432</v>
      </c>
    </row>
    <row r="62" spans="1:12" ht="20" customHeight="1" x14ac:dyDescent="0.35">
      <c r="A62" s="38" t="s">
        <v>25</v>
      </c>
      <c r="B62" s="150">
        <f>B10*('Preço máximo de venda'!$J$79-'Preço máximo de venda'!$J$74)</f>
        <v>232467453.18636143</v>
      </c>
      <c r="C62" s="39">
        <f>C10*('Preço máximo de venda'!$J$79-'Preço máximo de venda'!$J$74)</f>
        <v>233862257.90547958</v>
      </c>
      <c r="D62" s="39">
        <f>D10*('Preço máximo de venda'!$J$79-'Preço máximo de venda'!$J$74)</f>
        <v>235265431.45291245</v>
      </c>
      <c r="E62" s="40">
        <f>E10*('Preço máximo de venda'!$J$79-'Preço máximo de venda'!$J$74)</f>
        <v>236677024.04162994</v>
      </c>
    </row>
    <row r="63" spans="1:12" ht="20" customHeight="1" thickBot="1" x14ac:dyDescent="0.4">
      <c r="A63" s="41" t="s">
        <v>26</v>
      </c>
      <c r="B63" s="42">
        <f>B11*('Preço máximo de venda'!$I$79-'Preço máximo de venda'!$I$74)</f>
        <v>2158799215.5754485</v>
      </c>
      <c r="C63" s="43">
        <f>C11*('Preço máximo de venda'!$I$79-'Preço máximo de venda'!$I$74)</f>
        <v>2171752010.8689013</v>
      </c>
      <c r="D63" s="43">
        <f>D11*('Preço máximo de venda'!$I$79-'Preço máximo de venda'!$I$74)</f>
        <v>2184782522.9341149</v>
      </c>
      <c r="E63" s="44">
        <f>E11*('Preço máximo de venda'!$I$79-'Preço máximo de venda'!$I$74)</f>
        <v>2197891218.0717196</v>
      </c>
    </row>
    <row r="64" spans="1:12" ht="20" customHeight="1" thickTop="1" thickBot="1" x14ac:dyDescent="0.45">
      <c r="A64" s="151" t="s">
        <v>33</v>
      </c>
      <c r="B64" s="45">
        <f>SUM(B56:B63)</f>
        <v>7078618327.5063972</v>
      </c>
      <c r="C64" s="46">
        <f t="shared" ref="C64:E64" si="4">SUM(C56:C63)</f>
        <v>7130542888.8476181</v>
      </c>
      <c r="D64" s="46">
        <f t="shared" si="4"/>
        <v>7199031406.7779617</v>
      </c>
      <c r="E64" s="47">
        <f t="shared" si="4"/>
        <v>7269296534.981554</v>
      </c>
    </row>
    <row r="65" ht="13.15" thickTop="1" x14ac:dyDescent="0.35"/>
  </sheetData>
  <mergeCells count="8">
    <mergeCell ref="A54:E54"/>
    <mergeCell ref="A2:E2"/>
    <mergeCell ref="H2:L2"/>
    <mergeCell ref="A15:E15"/>
    <mergeCell ref="A28:E28"/>
    <mergeCell ref="H28:L28"/>
    <mergeCell ref="A41:E41"/>
    <mergeCell ref="H41:L41"/>
  </mergeCells>
  <pageMargins left="0.7" right="0.7" top="0.75" bottom="0.75" header="0.3" footer="0.3"/>
  <pageSetup paperSize="9" orientation="portrait" r:id="rId1"/>
  <ignoredErrors>
    <ignoredError sqref="B31:E37 I30:L37 B43:E50 I43:L50 B56:E63 C30:E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14953-D857-4D09-BAD2-53B9737E9F8D}">
  <dimension ref="A1:L65"/>
  <sheetViews>
    <sheetView showGridLines="0" topLeftCell="A46" zoomScale="90" zoomScaleNormal="90" workbookViewId="0">
      <selection activeCell="I45" sqref="I45"/>
    </sheetView>
  </sheetViews>
  <sheetFormatPr defaultRowHeight="12.75" x14ac:dyDescent="0.35"/>
  <cols>
    <col min="1" max="1" width="26.265625" bestFit="1" customWidth="1"/>
    <col min="2" max="5" width="13.59765625" customWidth="1"/>
    <col min="8" max="8" width="26.265625" bestFit="1" customWidth="1"/>
    <col min="9" max="12" width="13.59765625" customWidth="1"/>
  </cols>
  <sheetData>
    <row r="1" spans="1:12" ht="13.15" thickBot="1" x14ac:dyDescent="0.4"/>
    <row r="2" spans="1:12" ht="25.05" customHeight="1" thickTop="1" x14ac:dyDescent="0.35">
      <c r="A2" s="192" t="s">
        <v>27</v>
      </c>
      <c r="B2" s="193"/>
      <c r="C2" s="193"/>
      <c r="D2" s="193"/>
      <c r="E2" s="194"/>
      <c r="H2" s="192" t="s">
        <v>28</v>
      </c>
      <c r="I2" s="193"/>
      <c r="J2" s="193"/>
      <c r="K2" s="193"/>
      <c r="L2" s="194"/>
    </row>
    <row r="3" spans="1:12" ht="20" customHeight="1" x14ac:dyDescent="0.35">
      <c r="A3" s="34" t="s">
        <v>18</v>
      </c>
      <c r="B3" s="35">
        <f>[7]Pressupostos!$B$8</f>
        <v>2021</v>
      </c>
      <c r="C3" s="36">
        <f>B3+1</f>
        <v>2022</v>
      </c>
      <c r="D3" s="36">
        <f>C3+1</f>
        <v>2023</v>
      </c>
      <c r="E3" s="37">
        <f>D3+1</f>
        <v>2024</v>
      </c>
      <c r="H3" s="34" t="s">
        <v>18</v>
      </c>
      <c r="I3" s="35">
        <f>[7]Pressupostos!$B$8</f>
        <v>2021</v>
      </c>
      <c r="J3" s="36">
        <f>I3+1</f>
        <v>2022</v>
      </c>
      <c r="K3" s="36">
        <f>J3+1</f>
        <v>2023</v>
      </c>
      <c r="L3" s="37">
        <f>K3+1</f>
        <v>2024</v>
      </c>
    </row>
    <row r="4" spans="1:12" ht="20" customHeight="1" x14ac:dyDescent="0.35">
      <c r="A4" s="38" t="s">
        <v>19</v>
      </c>
      <c r="B4" s="150">
        <v>7377066.3594747502</v>
      </c>
      <c r="C4" s="39">
        <v>7376875.77729291</v>
      </c>
      <c r="D4" s="39">
        <v>7398177.7374396464</v>
      </c>
      <c r="E4" s="40">
        <v>7419957.5115811629</v>
      </c>
      <c r="H4" s="38" t="s">
        <v>19</v>
      </c>
      <c r="I4" s="150">
        <v>7386707.0572773842</v>
      </c>
      <c r="J4" s="39">
        <v>7685203.1260330407</v>
      </c>
      <c r="K4" s="39">
        <v>8000948.685604386</v>
      </c>
      <c r="L4" s="40">
        <v>8331610.6633663019</v>
      </c>
    </row>
    <row r="5" spans="1:12" ht="20" customHeight="1" x14ac:dyDescent="0.35">
      <c r="A5" s="38" t="s">
        <v>20</v>
      </c>
      <c r="B5" s="150">
        <v>8657098.3433481585</v>
      </c>
      <c r="C5" s="39">
        <v>8728059.4036461115</v>
      </c>
      <c r="D5" s="39">
        <v>8990981.801070733</v>
      </c>
      <c r="E5" s="40">
        <v>9255262.3285918795</v>
      </c>
      <c r="H5" s="38" t="s">
        <v>20</v>
      </c>
      <c r="I5" s="150">
        <v>8671310.8119207695</v>
      </c>
      <c r="J5" s="39">
        <v>9125702.316841431</v>
      </c>
      <c r="K5" s="39">
        <v>9585714.3069695532</v>
      </c>
      <c r="L5" s="40">
        <v>10065021.983332178</v>
      </c>
    </row>
    <row r="6" spans="1:12" ht="20" customHeight="1" x14ac:dyDescent="0.35">
      <c r="A6" s="38" t="s">
        <v>21</v>
      </c>
      <c r="B6" s="150">
        <v>320570.24999999994</v>
      </c>
      <c r="C6" s="39">
        <v>320890.82024999987</v>
      </c>
      <c r="D6" s="39">
        <v>321211.71107024985</v>
      </c>
      <c r="E6" s="40">
        <v>321532.92278132006</v>
      </c>
      <c r="H6" s="38" t="s">
        <v>21</v>
      </c>
      <c r="I6" s="150">
        <v>324553.0768882829</v>
      </c>
      <c r="J6" s="39">
        <v>330759.2815942525</v>
      </c>
      <c r="K6" s="39">
        <v>337084.16327355942</v>
      </c>
      <c r="L6" s="40">
        <v>343529.99130413547</v>
      </c>
    </row>
    <row r="7" spans="1:12" ht="20" customHeight="1" x14ac:dyDescent="0.35">
      <c r="A7" s="38" t="s">
        <v>22</v>
      </c>
      <c r="B7" s="150">
        <v>35464745.819484353</v>
      </c>
      <c r="C7" s="39">
        <v>35794789.99846936</v>
      </c>
      <c r="D7" s="39">
        <v>35871010.932693981</v>
      </c>
      <c r="E7" s="40">
        <v>35890080.729372256</v>
      </c>
      <c r="H7" s="38" t="s">
        <v>22</v>
      </c>
      <c r="I7" s="150">
        <v>35572993.561815172</v>
      </c>
      <c r="J7" s="39">
        <v>35634341.247391291</v>
      </c>
      <c r="K7" s="39">
        <v>35873905.785884045</v>
      </c>
      <c r="L7" s="40">
        <v>36126379.990512915</v>
      </c>
    </row>
    <row r="8" spans="1:12" ht="20" customHeight="1" x14ac:dyDescent="0.35">
      <c r="A8" s="38" t="s">
        <v>23</v>
      </c>
      <c r="B8" s="150">
        <v>7871669.0750410594</v>
      </c>
      <c r="C8" s="39">
        <v>7937103.8005116656</v>
      </c>
      <c r="D8" s="39">
        <v>8007476.7639573645</v>
      </c>
      <c r="E8" s="40">
        <v>8077076.7804374369</v>
      </c>
      <c r="H8" s="38" t="s">
        <v>23</v>
      </c>
      <c r="I8" s="150">
        <v>8174365.8905980606</v>
      </c>
      <c r="J8" s="39">
        <v>8654386.968542546</v>
      </c>
      <c r="K8" s="39">
        <v>9008482.8220367637</v>
      </c>
      <c r="L8" s="40">
        <v>9376003.4816396926</v>
      </c>
    </row>
    <row r="9" spans="1:12" ht="20" customHeight="1" x14ac:dyDescent="0.35">
      <c r="A9" s="38" t="s">
        <v>24</v>
      </c>
      <c r="B9" s="150">
        <v>3504188.16443248</v>
      </c>
      <c r="C9" s="39">
        <v>3758582.3490515356</v>
      </c>
      <c r="D9" s="39">
        <v>4038209.6338193393</v>
      </c>
      <c r="E9" s="40">
        <v>4277746.2887816178</v>
      </c>
      <c r="H9" s="38" t="s">
        <v>24</v>
      </c>
      <c r="I9" s="150">
        <v>3543023.8266927055</v>
      </c>
      <c r="J9" s="39">
        <v>3460048.7514612968</v>
      </c>
      <c r="K9" s="39">
        <v>3542095.8226500084</v>
      </c>
      <c r="L9" s="40">
        <v>3616646.7413427774</v>
      </c>
    </row>
    <row r="10" spans="1:12" ht="20" customHeight="1" x14ac:dyDescent="0.35">
      <c r="A10" s="38" t="s">
        <v>25</v>
      </c>
      <c r="B10" s="150">
        <v>9727490.7158497125</v>
      </c>
      <c r="C10" s="39">
        <v>9936262.2973635867</v>
      </c>
      <c r="D10" s="39">
        <v>9936262.2973635867</v>
      </c>
      <c r="E10" s="40">
        <v>9936262.2973635867</v>
      </c>
      <c r="H10" s="38" t="s">
        <v>25</v>
      </c>
      <c r="I10" s="150">
        <v>9843635.6112348177</v>
      </c>
      <c r="J10" s="39">
        <v>10025107.435312221</v>
      </c>
      <c r="K10" s="39">
        <v>10209924.773611667</v>
      </c>
      <c r="L10" s="40">
        <v>10398149.302183785</v>
      </c>
    </row>
    <row r="11" spans="1:12" ht="20" customHeight="1" thickBot="1" x14ac:dyDescent="0.4">
      <c r="A11" s="41" t="s">
        <v>26</v>
      </c>
      <c r="B11" s="42">
        <v>22729744.288490698</v>
      </c>
      <c r="C11" s="43">
        <v>23060571.018041547</v>
      </c>
      <c r="D11" s="43">
        <v>23237624.708533555</v>
      </c>
      <c r="E11" s="44">
        <v>23307745.96731957</v>
      </c>
      <c r="H11" s="41" t="s">
        <v>26</v>
      </c>
      <c r="I11" s="42">
        <v>23974766.020836111</v>
      </c>
      <c r="J11" s="43">
        <v>24550536.526971925</v>
      </c>
      <c r="K11" s="43">
        <v>25140134.55807494</v>
      </c>
      <c r="L11" s="44">
        <v>25743892.191673756</v>
      </c>
    </row>
    <row r="12" spans="1:12" ht="13.15" thickTop="1" x14ac:dyDescent="0.35"/>
    <row r="14" spans="1:12" ht="13.15" thickBot="1" x14ac:dyDescent="0.4"/>
    <row r="15" spans="1:12" ht="25.05" customHeight="1" thickTop="1" x14ac:dyDescent="0.35">
      <c r="A15" s="192" t="s">
        <v>29</v>
      </c>
      <c r="B15" s="193"/>
      <c r="C15" s="193"/>
      <c r="D15" s="193"/>
      <c r="E15" s="194"/>
    </row>
    <row r="16" spans="1:12" ht="20" customHeight="1" x14ac:dyDescent="0.35">
      <c r="A16" s="34" t="s">
        <v>18</v>
      </c>
      <c r="B16" s="35">
        <f>[7]Pressupostos!$B$8</f>
        <v>2021</v>
      </c>
      <c r="C16" s="36">
        <f>B16+1</f>
        <v>2022</v>
      </c>
      <c r="D16" s="36">
        <f>C16+1</f>
        <v>2023</v>
      </c>
      <c r="E16" s="37">
        <f>D16+1</f>
        <v>2024</v>
      </c>
    </row>
    <row r="17" spans="1:12" ht="20" customHeight="1" x14ac:dyDescent="0.35">
      <c r="A17" s="38" t="s">
        <v>19</v>
      </c>
      <c r="B17" s="150">
        <v>7367425.6616721153</v>
      </c>
      <c r="C17" s="39">
        <v>7357471.0397023009</v>
      </c>
      <c r="D17" s="39">
        <v>7368965.8697647452</v>
      </c>
      <c r="E17" s="40">
        <v>7380893.315850934</v>
      </c>
    </row>
    <row r="18" spans="1:12" ht="20" customHeight="1" x14ac:dyDescent="0.35">
      <c r="A18" s="38" t="s">
        <v>20</v>
      </c>
      <c r="B18" s="150">
        <v>8642885.8747755531</v>
      </c>
      <c r="C18" s="39">
        <v>8698337.8760954738</v>
      </c>
      <c r="D18" s="39">
        <v>8944873.6292591933</v>
      </c>
      <c r="E18" s="40">
        <v>9191868.4683140218</v>
      </c>
    </row>
    <row r="19" spans="1:12" ht="20" customHeight="1" x14ac:dyDescent="0.35">
      <c r="A19" s="38" t="s">
        <v>21</v>
      </c>
      <c r="B19" s="150">
        <v>316587.42311171704</v>
      </c>
      <c r="C19" s="39">
        <v>312966.73371590121</v>
      </c>
      <c r="D19" s="39">
        <v>309387.45276130555</v>
      </c>
      <c r="E19" s="40">
        <v>305849.10667540925</v>
      </c>
    </row>
    <row r="20" spans="1:12" ht="20" customHeight="1" x14ac:dyDescent="0.35">
      <c r="A20" s="38" t="s">
        <v>22</v>
      </c>
      <c r="B20" s="150">
        <v>35356498.077153526</v>
      </c>
      <c r="C20" s="39">
        <v>35569921.372961164</v>
      </c>
      <c r="D20" s="39">
        <v>35529352.09297049</v>
      </c>
      <c r="E20" s="40">
        <v>35432061.533416167</v>
      </c>
    </row>
    <row r="21" spans="1:12" ht="20" customHeight="1" x14ac:dyDescent="0.35">
      <c r="A21" s="38" t="s">
        <v>23</v>
      </c>
      <c r="B21" s="150">
        <v>7568972.259484062</v>
      </c>
      <c r="C21" s="39">
        <v>7332539.8211043142</v>
      </c>
      <c r="D21" s="39">
        <v>7107552.4255581405</v>
      </c>
      <c r="E21" s="40">
        <v>6888228.5068829106</v>
      </c>
    </row>
    <row r="22" spans="1:12" ht="20" customHeight="1" x14ac:dyDescent="0.35">
      <c r="A22" s="38" t="s">
        <v>24</v>
      </c>
      <c r="B22" s="150">
        <v>3465352.5021722545</v>
      </c>
      <c r="C22" s="39">
        <v>3680008.1312518795</v>
      </c>
      <c r="D22" s="39">
        <v>3914583.6337276371</v>
      </c>
      <c r="E22" s="40">
        <v>4105081.8811051301</v>
      </c>
    </row>
    <row r="23" spans="1:12" ht="20" customHeight="1" x14ac:dyDescent="0.35">
      <c r="A23" s="38" t="s">
        <v>25</v>
      </c>
      <c r="B23" s="150">
        <v>9611345.8204646055</v>
      </c>
      <c r="C23" s="39">
        <v>9690485.3670460172</v>
      </c>
      <c r="D23" s="39">
        <v>9562299.1743412428</v>
      </c>
      <c r="E23" s="40">
        <v>9435808.6345762089</v>
      </c>
    </row>
    <row r="24" spans="1:12" ht="20" customHeight="1" thickBot="1" x14ac:dyDescent="0.4">
      <c r="A24" s="41" t="s">
        <v>26</v>
      </c>
      <c r="B24" s="42">
        <v>21484722.556145292</v>
      </c>
      <c r="C24" s="43">
        <v>20642165.81347122</v>
      </c>
      <c r="D24" s="43">
        <v>19690694.523750801</v>
      </c>
      <c r="E24" s="44">
        <v>18691317.520003676</v>
      </c>
    </row>
    <row r="25" spans="1:12" ht="13.15" thickTop="1" x14ac:dyDescent="0.35"/>
    <row r="27" spans="1:12" ht="13.15" thickBot="1" x14ac:dyDescent="0.4"/>
    <row r="28" spans="1:12" ht="25.05" customHeight="1" thickTop="1" x14ac:dyDescent="0.35">
      <c r="A28" s="192" t="s">
        <v>30</v>
      </c>
      <c r="B28" s="193"/>
      <c r="C28" s="193"/>
      <c r="D28" s="193"/>
      <c r="E28" s="194"/>
      <c r="H28" s="192" t="s">
        <v>31</v>
      </c>
      <c r="I28" s="193"/>
      <c r="J28" s="193"/>
      <c r="K28" s="193"/>
      <c r="L28" s="194"/>
    </row>
    <row r="29" spans="1:12" ht="20" customHeight="1" x14ac:dyDescent="0.35">
      <c r="A29" s="34" t="s">
        <v>18</v>
      </c>
      <c r="B29" s="35">
        <f>[7]Pressupostos!$B$8</f>
        <v>2021</v>
      </c>
      <c r="C29" s="36">
        <f>B29+1</f>
        <v>2022</v>
      </c>
      <c r="D29" s="36">
        <f>C29+1</f>
        <v>2023</v>
      </c>
      <c r="E29" s="37">
        <f>D29+1</f>
        <v>2024</v>
      </c>
      <c r="H29" s="34" t="s">
        <v>18</v>
      </c>
      <c r="I29" s="35">
        <f>[7]Pressupostos!$B$8</f>
        <v>2021</v>
      </c>
      <c r="J29" s="36">
        <f>I29+1</f>
        <v>2022</v>
      </c>
      <c r="K29" s="36">
        <f>J29+1</f>
        <v>2023</v>
      </c>
      <c r="L29" s="37">
        <f>K29+1</f>
        <v>2024</v>
      </c>
    </row>
    <row r="30" spans="1:12" ht="20" customHeight="1" x14ac:dyDescent="0.35">
      <c r="A30" s="38" t="s">
        <v>19</v>
      </c>
      <c r="B30" s="150">
        <f>B4*('Preço máximo de venda'!$C$19-'Preço máximo de venda'!$C$14)</f>
        <v>986091637.24626732</v>
      </c>
      <c r="C30" s="39">
        <f>C4*('Preço máximo de venda'!$C$19-'Preço máximo de venda'!$C$14)</f>
        <v>986066162.14728308</v>
      </c>
      <c r="D30" s="39">
        <f>D4*('Preço máximo de venda'!$C$19-'Preço máximo de venda'!$C$14)</f>
        <v>988913592.78353739</v>
      </c>
      <c r="E30" s="40">
        <f>E4*('Preço máximo de venda'!$C$19-'Preço máximo de venda'!$C$14)</f>
        <v>991824892.76316667</v>
      </c>
      <c r="H30" s="38" t="s">
        <v>19</v>
      </c>
      <c r="I30" s="150">
        <f>I4*('Preço máximo de venda'!$C$34-'Preço máximo de venda'!$C$29)</f>
        <v>1090445586.2994022</v>
      </c>
      <c r="J30" s="39">
        <f>J4*('Preço máximo de venda'!$C$34-'Preço máximo de venda'!$C$29)</f>
        <v>1134510379.7423277</v>
      </c>
      <c r="K30" s="39">
        <f>K4*('Preço máximo de venda'!$C$34-'Preço máximo de venda'!$C$29)</f>
        <v>1181121589.4679117</v>
      </c>
      <c r="L30" s="40">
        <f>L4*('Preço máximo de venda'!$C$34-'Preço máximo de venda'!$C$29)</f>
        <v>1229934801.0128694</v>
      </c>
    </row>
    <row r="31" spans="1:12" ht="20" customHeight="1" x14ac:dyDescent="0.35">
      <c r="A31" s="38" t="s">
        <v>20</v>
      </c>
      <c r="B31" s="150">
        <f>B5*('Preço máximo de venda'!$D$19-'Preço máximo de venda'!$D$14)</f>
        <v>823876156.04886568</v>
      </c>
      <c r="C31" s="39">
        <f>C5*('Preço máximo de venda'!$D$19-'Preço máximo de venda'!$D$14)</f>
        <v>830629357.09484315</v>
      </c>
      <c r="D31" s="39">
        <f>D5*('Preço máximo de venda'!$D$19-'Preço máximo de venda'!$D$14)</f>
        <v>855651077.48407614</v>
      </c>
      <c r="E31" s="40">
        <f>E5*('Preço máximo de venda'!$D$19-'Preço máximo de venda'!$D$14)</f>
        <v>880802047.99372602</v>
      </c>
      <c r="H31" s="38" t="s">
        <v>20</v>
      </c>
      <c r="I31" s="150">
        <f>I5*('Preço máximo de venda'!$D$34-'Preço máximo de venda'!$D$29)</f>
        <v>865870640.05902684</v>
      </c>
      <c r="J31" s="39">
        <f>J5*('Preço máximo de venda'!$D$34-'Preço máximo de venda'!$D$29)</f>
        <v>911243741.28175724</v>
      </c>
      <c r="K31" s="39">
        <f>K5*('Preço máximo de venda'!$D$34-'Preço máximo de venda'!$D$29)</f>
        <v>957178074.0448606</v>
      </c>
      <c r="L31" s="40">
        <f>L5*('Preço máximo de venda'!$D$34-'Preço máximo de venda'!$D$29)</f>
        <v>1005039170.6563175</v>
      </c>
    </row>
    <row r="32" spans="1:12" ht="20" customHeight="1" x14ac:dyDescent="0.35">
      <c r="A32" s="38" t="s">
        <v>21</v>
      </c>
      <c r="B32" s="150">
        <f>B6*('Preço máximo de venda'!$E$19-'Preço máximo de venda'!$E$14)</f>
        <v>28693992.062996909</v>
      </c>
      <c r="C32" s="39">
        <f>C6*('Preço máximo de venda'!$E$19-'Preço máximo de venda'!$E$14)</f>
        <v>28722686.055059899</v>
      </c>
      <c r="D32" s="39">
        <f>D6*('Preço máximo de venda'!$E$19-'Preço máximo de venda'!$E$14)</f>
        <v>28751408.741114955</v>
      </c>
      <c r="E32" s="40">
        <f>E6*('Preço máximo de venda'!$E$19-'Preço máximo de venda'!$E$14)</f>
        <v>28780160.149856068</v>
      </c>
      <c r="H32" s="38" t="s">
        <v>21</v>
      </c>
      <c r="I32" s="150">
        <f>I6*('Preço máximo de venda'!$E$34-'Preço máximo de venda'!$E$29)</f>
        <v>34556057.886975296</v>
      </c>
      <c r="J32" s="39">
        <f>J6*('Preço máximo de venda'!$E$34-'Preço máximo de venda'!$E$29)</f>
        <v>35216849.555118151</v>
      </c>
      <c r="K32" s="39">
        <f>K6*('Preço máximo de venda'!$E$34-'Preço máximo de venda'!$E$29)</f>
        <v>35890277.086706869</v>
      </c>
      <c r="L32" s="40">
        <f>L6*('Preço máximo de venda'!$E$34-'Preço máximo de venda'!$E$29)</f>
        <v>36576582.108645529</v>
      </c>
    </row>
    <row r="33" spans="1:12" ht="20" customHeight="1" x14ac:dyDescent="0.35">
      <c r="A33" s="38" t="s">
        <v>22</v>
      </c>
      <c r="B33" s="150">
        <f>B7*('Preço máximo de venda'!$F$19-'Preço máximo de venda'!$F$14)</f>
        <v>2844620119.7514729</v>
      </c>
      <c r="C33" s="39">
        <f>C7*('Preço máximo de venda'!$F$19-'Preço máximo de venda'!$F$14)</f>
        <v>2871092896.8785486</v>
      </c>
      <c r="D33" s="39">
        <f>D7*('Preço máximo de venda'!$F$19-'Preço máximo de venda'!$F$14)</f>
        <v>2877206562.6621757</v>
      </c>
      <c r="E33" s="40">
        <f>E7*('Preço máximo de venda'!$F$19-'Preço máximo de venda'!$F$14)</f>
        <v>2878736147.2131748</v>
      </c>
      <c r="H33" s="38" t="s">
        <v>22</v>
      </c>
      <c r="I33" s="150">
        <f>I7*('Preço máximo de venda'!$F$34-'Preço máximo de venda'!$F$29)</f>
        <v>3088566152.6895013</v>
      </c>
      <c r="J33" s="39">
        <f>J7*('Preço máximo de venda'!$F$34-'Preço máximo de venda'!$F$29)</f>
        <v>3093892563.7177715</v>
      </c>
      <c r="K33" s="39">
        <f>K7*('Preço máximo de venda'!$F$34-'Preço máximo de venda'!$F$29)</f>
        <v>3114692357.3501983</v>
      </c>
      <c r="L33" s="40">
        <f>L7*('Preço máximo de venda'!$F$34-'Preço máximo de venda'!$F$29)</f>
        <v>3136613011.3285851</v>
      </c>
    </row>
    <row r="34" spans="1:12" ht="20" customHeight="1" x14ac:dyDescent="0.35">
      <c r="A34" s="38" t="s">
        <v>23</v>
      </c>
      <c r="B34" s="150">
        <f>B8*('Preço máximo de venda'!$G$19-'Preço máximo de venda'!$G$14)</f>
        <v>534897073.78950548</v>
      </c>
      <c r="C34" s="39">
        <f>C8*('Preço máximo de venda'!$G$19-'Preço máximo de venda'!$G$14)</f>
        <v>539343506.03211904</v>
      </c>
      <c r="D34" s="39">
        <f>D8*('Preço máximo de venda'!$G$19-'Preço máximo de venda'!$G$14)</f>
        <v>544125502.31043744</v>
      </c>
      <c r="E34" s="40">
        <f>E8*('Preço máximo de venda'!$G$19-'Preço máximo de venda'!$G$14)</f>
        <v>548854975.15742671</v>
      </c>
      <c r="H34" s="38" t="s">
        <v>23</v>
      </c>
      <c r="I34" s="150">
        <f>I8*('Preço máximo de venda'!$G$34-'Preço máximo de venda'!$G$29)</f>
        <v>579664662.60590625</v>
      </c>
      <c r="J34" s="39">
        <f>J8*('Preço máximo de venda'!$G$34-'Preço máximo de venda'!$G$29)</f>
        <v>613704153.85383904</v>
      </c>
      <c r="K34" s="39">
        <f>K8*('Preço máximo de venda'!$G$34-'Preço máximo de venda'!$G$29)</f>
        <v>638813973.5258404</v>
      </c>
      <c r="L34" s="40">
        <f>L8*('Preço máximo de venda'!$G$34-'Preço máximo de venda'!$G$29)</f>
        <v>664875779.66476834</v>
      </c>
    </row>
    <row r="35" spans="1:12" ht="20" customHeight="1" x14ac:dyDescent="0.35">
      <c r="A35" s="38" t="s">
        <v>24</v>
      </c>
      <c r="B35" s="150">
        <f>B9*('Preço máximo de venda'!$H$19-'Preço máximo de venda'!$H$14)</f>
        <v>261412437.066663</v>
      </c>
      <c r="C35" s="39">
        <f>C9*('Preço máximo de venda'!$H$19-'Preço máximo de venda'!$H$14)</f>
        <v>280390243.23924452</v>
      </c>
      <c r="D35" s="39">
        <f>D9*('Preço máximo de venda'!$H$19-'Preço máximo de venda'!$H$14)</f>
        <v>301250438.68292272</v>
      </c>
      <c r="E35" s="40">
        <f>E9*('Preço máximo de venda'!$H$19-'Preço máximo de venda'!$H$14)</f>
        <v>319119873.14310867</v>
      </c>
      <c r="H35" s="38" t="s">
        <v>24</v>
      </c>
      <c r="I35" s="150">
        <f>I9*('Preço máximo de venda'!$H$34-'Preço máximo de venda'!$H$29)</f>
        <v>286276325.19677061</v>
      </c>
      <c r="J35" s="39">
        <f>J9*('Preço máximo de venda'!$H$34-'Preço máximo de venda'!$H$29)</f>
        <v>279571939.11807275</v>
      </c>
      <c r="K35" s="39">
        <f>K9*('Preço máximo de venda'!$H$34-'Preço máximo de venda'!$H$29)</f>
        <v>286201342.47012067</v>
      </c>
      <c r="L35" s="40">
        <f>L9*('Preço máximo de venda'!$H$34-'Preço máximo de venda'!$H$29)</f>
        <v>292225056.70049638</v>
      </c>
    </row>
    <row r="36" spans="1:12" ht="20" customHeight="1" x14ac:dyDescent="0.35">
      <c r="A36" s="38" t="s">
        <v>25</v>
      </c>
      <c r="B36" s="150">
        <f>B10*('Preço máximo de venda'!$J$19-'Preço máximo de venda'!$J$14)</f>
        <v>644182542.87750602</v>
      </c>
      <c r="C36" s="39">
        <f>C10*('Preço máximo de venda'!$J$19-'Preço máximo de venda'!$J$14)</f>
        <v>658008000.25276077</v>
      </c>
      <c r="D36" s="39">
        <f>D10*('Preço máximo de venda'!$J$19-'Preço máximo de venda'!$J$14)</f>
        <v>658008000.25276077</v>
      </c>
      <c r="E36" s="40">
        <f>E10*('Preço máximo de venda'!$J$19-'Preço máximo de venda'!$J$14)</f>
        <v>658008000.25276077</v>
      </c>
      <c r="H36" s="38" t="s">
        <v>25</v>
      </c>
      <c r="I36" s="150">
        <f>I10*('Preço máximo de venda'!$J$34-'Preço máximo de venda'!$J$29)</f>
        <v>670656669.43207371</v>
      </c>
      <c r="J36" s="39">
        <f>J10*('Preço máximo de venda'!$J$34-'Preço máximo de venda'!$J$29)</f>
        <v>683020525.01736259</v>
      </c>
      <c r="K36" s="39">
        <f>K10*('Preço máximo de venda'!$J$34-'Preço máximo de venda'!$J$29)</f>
        <v>695612313.80886769</v>
      </c>
      <c r="L36" s="40">
        <f>L10*('Preço máximo de venda'!$J$34-'Preço máximo de venda'!$J$29)</f>
        <v>708436237.85716593</v>
      </c>
    </row>
    <row r="37" spans="1:12" ht="20" customHeight="1" thickBot="1" x14ac:dyDescent="0.4">
      <c r="A37" s="41" t="s">
        <v>26</v>
      </c>
      <c r="B37" s="42">
        <f>B11*('Preço máximo de venda'!$I$19-'Preço máximo de venda'!$I$14)</f>
        <v>1505080157.9705691</v>
      </c>
      <c r="C37" s="43">
        <f>C11*('Preço máximo de venda'!$I$19-'Preço máximo de venda'!$I$14)</f>
        <v>1526986288.5479116</v>
      </c>
      <c r="D37" s="43">
        <f>D11*('Preço máximo de venda'!$I$19-'Preço máximo de venda'!$I$14)</f>
        <v>1538710133.439115</v>
      </c>
      <c r="E37" s="44">
        <f>E11*('Preço máximo de venda'!$I$19-'Preço máximo de venda'!$I$14)</f>
        <v>1543353305.5712447</v>
      </c>
      <c r="H37" s="41" t="s">
        <v>26</v>
      </c>
      <c r="I37" s="42">
        <f>I11*('Preço máximo de venda'!$I$34-'Preço máximo de venda'!$I$29)</f>
        <v>1633267258.865135</v>
      </c>
      <c r="J37" s="43">
        <f>J11*('Preço máximo de venda'!$I$34-'Preço máximo de venda'!$I$29)</f>
        <v>1672491296.1497765</v>
      </c>
      <c r="K37" s="43">
        <f>K11*('Preço máximo de venda'!$I$34-'Preço máximo de venda'!$I$29)</f>
        <v>1712657325.6849551</v>
      </c>
      <c r="L37" s="44">
        <f>L11*('Preço máximo de venda'!$I$34-'Preço máximo de venda'!$I$29)</f>
        <v>1753787970.0628746</v>
      </c>
    </row>
    <row r="38" spans="1:12" ht="20" customHeight="1" thickTop="1" thickBot="1" x14ac:dyDescent="0.45">
      <c r="A38" s="151" t="s">
        <v>33</v>
      </c>
      <c r="B38" s="45">
        <f>SUM(B30:B37)</f>
        <v>7628854116.8138466</v>
      </c>
      <c r="C38" s="46">
        <f t="shared" ref="C38:E38" si="0">SUM(C30:C37)</f>
        <v>7721239140.2477703</v>
      </c>
      <c r="D38" s="46">
        <f t="shared" si="0"/>
        <v>7792616716.3561401</v>
      </c>
      <c r="E38" s="47">
        <f t="shared" si="0"/>
        <v>7849479402.2444649</v>
      </c>
      <c r="H38" s="151" t="s">
        <v>33</v>
      </c>
      <c r="I38" s="45">
        <f>SUM(I30:I37)</f>
        <v>8249303353.0347919</v>
      </c>
      <c r="J38" s="46">
        <f t="shared" ref="J38:L38" si="1">SUM(J30:J37)</f>
        <v>8423651448.4360247</v>
      </c>
      <c r="K38" s="46">
        <f t="shared" si="1"/>
        <v>8622167253.4394608</v>
      </c>
      <c r="L38" s="47">
        <f t="shared" si="1"/>
        <v>8827488609.3917217</v>
      </c>
    </row>
    <row r="39" spans="1:12" ht="13.15" thickTop="1" x14ac:dyDescent="0.35"/>
    <row r="40" spans="1:12" ht="13.15" thickBot="1" x14ac:dyDescent="0.4"/>
    <row r="41" spans="1:12" ht="25.05" customHeight="1" thickTop="1" x14ac:dyDescent="0.35">
      <c r="A41" s="192" t="s">
        <v>32</v>
      </c>
      <c r="B41" s="193"/>
      <c r="C41" s="193"/>
      <c r="D41" s="193"/>
      <c r="E41" s="194"/>
      <c r="H41" s="192" t="s">
        <v>170</v>
      </c>
      <c r="I41" s="193"/>
      <c r="J41" s="193"/>
      <c r="K41" s="193"/>
      <c r="L41" s="194"/>
    </row>
    <row r="42" spans="1:12" ht="20" customHeight="1" x14ac:dyDescent="0.35">
      <c r="A42" s="34" t="s">
        <v>18</v>
      </c>
      <c r="B42" s="35">
        <f>[7]Pressupostos!$B$8</f>
        <v>2021</v>
      </c>
      <c r="C42" s="36">
        <f>B42+1</f>
        <v>2022</v>
      </c>
      <c r="D42" s="36">
        <f>C42+1</f>
        <v>2023</v>
      </c>
      <c r="E42" s="37">
        <f>D42+1</f>
        <v>2024</v>
      </c>
      <c r="H42" s="34" t="s">
        <v>18</v>
      </c>
      <c r="I42" s="35">
        <f>[7]Pressupostos!$B$8</f>
        <v>2021</v>
      </c>
      <c r="J42" s="36">
        <f>I42+1</f>
        <v>2022</v>
      </c>
      <c r="K42" s="36">
        <f>J42+1</f>
        <v>2023</v>
      </c>
      <c r="L42" s="37">
        <f>K42+1</f>
        <v>2024</v>
      </c>
    </row>
    <row r="43" spans="1:12" ht="20" customHeight="1" x14ac:dyDescent="0.35">
      <c r="A43" s="38" t="s">
        <v>19</v>
      </c>
      <c r="B43" s="150">
        <f>B17*('Preço máximo de venda'!$C$49-'Preço máximo de venda'!$C$44)</f>
        <v>897113272.20473695</v>
      </c>
      <c r="C43" s="39">
        <f>C17*('Preço máximo de venda'!$C$49-'Preço máximo de venda'!$C$44)</f>
        <v>895901122.41198635</v>
      </c>
      <c r="D43" s="39">
        <f>D17*('Preço máximo de venda'!$C$49-'Preço máximo de venda'!$C$44)</f>
        <v>897300819.54967237</v>
      </c>
      <c r="E43" s="40">
        <f>E17*('Preço máximo de venda'!$C$49-'Preço máximo de venda'!$C$44)</f>
        <v>898753195.27476346</v>
      </c>
      <c r="H43" s="38" t="s">
        <v>19</v>
      </c>
      <c r="I43" s="150">
        <f>B4*('Preço máximo de venda'!$C$64-'Preço máximo de venda'!$C$59)</f>
        <v>1008411734.1200055</v>
      </c>
      <c r="J43" s="39">
        <f>C4*('Preço máximo de venda'!$C$64-'Preço máximo de venda'!$C$59)</f>
        <v>1008385682.394412</v>
      </c>
      <c r="K43" s="39">
        <f>D4*('Preço máximo de venda'!$C$64-'Preço máximo de venda'!$C$59)</f>
        <v>1011297564.3709292</v>
      </c>
      <c r="L43" s="40">
        <f>E4*('Preço máximo de venda'!$C$64-'Preço máximo de venda'!$C$59)</f>
        <v>1014274761.3677517</v>
      </c>
    </row>
    <row r="44" spans="1:12" ht="20" customHeight="1" x14ac:dyDescent="0.35">
      <c r="A44" s="38" t="s">
        <v>20</v>
      </c>
      <c r="B44" s="150">
        <f>B18*('Preço máximo de venda'!$D$49-'Preço máximo de venda'!$D$44)</f>
        <v>789398961.59494925</v>
      </c>
      <c r="C44" s="39">
        <f>C18*('Preço máximo de venda'!$D$49-'Preço máximo de venda'!$D$44)</f>
        <v>794463676.42452502</v>
      </c>
      <c r="D44" s="39">
        <f>D18*('Preço máximo de venda'!$D$49-'Preço máximo de venda'!$D$44)</f>
        <v>816981047.40028405</v>
      </c>
      <c r="E44" s="40">
        <f>E18*('Preço máximo de venda'!$D$49-'Preço máximo de venda'!$D$44)</f>
        <v>839540349.03797424</v>
      </c>
      <c r="H44" s="38" t="s">
        <v>20</v>
      </c>
      <c r="I44" s="150">
        <f>B5*('Preço máximo de venda'!$D$64-'Preço máximo de venda'!$D$59)</f>
        <v>832903979.22630513</v>
      </c>
      <c r="J44" s="39">
        <f>C5*('Preço máximo de venda'!$D$64-'Preço máximo de venda'!$D$59)</f>
        <v>839731180.11373603</v>
      </c>
      <c r="K44" s="39">
        <f>D5*('Preço máximo de venda'!$D$64-'Preço máximo de venda'!$D$59)</f>
        <v>865027082.08427918</v>
      </c>
      <c r="L44" s="40">
        <f>E5*('Preço máximo de venda'!$D$64-'Preço máximo de venda'!$D$59)</f>
        <v>890453650.46484101</v>
      </c>
    </row>
    <row r="45" spans="1:12" ht="20" customHeight="1" x14ac:dyDescent="0.35">
      <c r="A45" s="38" t="s">
        <v>21</v>
      </c>
      <c r="B45" s="150">
        <f>B19*('Preço máximo de venda'!$E$49-'Preço máximo de venda'!$E$44)</f>
        <v>24730768.836549945</v>
      </c>
      <c r="C45" s="39">
        <f>C19*('Preço máximo de venda'!$E$49-'Preço máximo de venda'!$E$44)</f>
        <v>24447932.482544586</v>
      </c>
      <c r="D45" s="39">
        <f>D19*('Preço máximo de venda'!$E$49-'Preço máximo de venda'!$E$44)</f>
        <v>24168330.819853347</v>
      </c>
      <c r="E45" s="40">
        <f>E19*('Preço máximo de venda'!$E$49-'Preço máximo de venda'!$E$44)</f>
        <v>23891926.854547583</v>
      </c>
      <c r="H45" s="38" t="s">
        <v>21</v>
      </c>
      <c r="I45" s="150">
        <f>B6*('Preço máximo de venda'!$E$64-'Preço máximo de venda'!$E$59)</f>
        <v>29979417.480216637</v>
      </c>
      <c r="J45" s="39">
        <f>C6*('Preço máximo de venda'!$E$64-'Preço máximo de venda'!$E$59)</f>
        <v>30009396.897696849</v>
      </c>
      <c r="K45" s="39">
        <f>D6*('Preço máximo de venda'!$E$64-'Preço máximo de venda'!$E$59)</f>
        <v>30039406.294594541</v>
      </c>
      <c r="L45" s="40">
        <f>E6*('Preço máximo de venda'!$E$64-'Preço máximo de venda'!$E$59)</f>
        <v>30069445.700889133</v>
      </c>
    </row>
    <row r="46" spans="1:12" ht="20" customHeight="1" x14ac:dyDescent="0.35">
      <c r="A46" s="38" t="s">
        <v>22</v>
      </c>
      <c r="B46" s="150">
        <f>B20*('Preço máximo de venda'!$F$49-'Preço máximo de venda'!$F$44)</f>
        <v>2713050614.318923</v>
      </c>
      <c r="C46" s="39">
        <f>C20*('Preço máximo de venda'!$F$49-'Preço máximo de venda'!$F$44)</f>
        <v>2729427468.2295494</v>
      </c>
      <c r="D46" s="39">
        <f>D20*('Preço máximo de venda'!$F$49-'Preço máximo de venda'!$F$44)</f>
        <v>2726314419.2573071</v>
      </c>
      <c r="E46" s="40">
        <f>E20*('Preço máximo de venda'!$F$49-'Preço máximo de venda'!$F$44)</f>
        <v>2718848911.4519157</v>
      </c>
      <c r="H46" s="38" t="s">
        <v>22</v>
      </c>
      <c r="I46" s="150">
        <f>B7*('Preço máximo de venda'!$F$64-'Preço máximo de venda'!$F$59)</f>
        <v>2903367374.5950985</v>
      </c>
      <c r="J46" s="39">
        <f>C7*('Preço máximo de venda'!$F$64-'Preço máximo de venda'!$F$59)</f>
        <v>2930386869.005619</v>
      </c>
      <c r="K46" s="39">
        <f>D7*('Preço máximo de venda'!$F$64-'Preço máximo de venda'!$F$59)</f>
        <v>2936626794.5591626</v>
      </c>
      <c r="L46" s="40">
        <f>E7*('Preço máximo de venda'!$F$64-'Preço máximo de venda'!$F$59)</f>
        <v>2938187968.1764126</v>
      </c>
    </row>
    <row r="47" spans="1:12" ht="20" customHeight="1" x14ac:dyDescent="0.35">
      <c r="A47" s="38" t="s">
        <v>23</v>
      </c>
      <c r="B47" s="150">
        <f>B21*('Preço máximo de venda'!$G$49-'Preço máximo de venda'!$G$44)</f>
        <v>488678113.61230683</v>
      </c>
      <c r="C47" s="39">
        <f>C21*('Preço máximo de venda'!$G$49-'Preço máximo de venda'!$G$44)</f>
        <v>473413246.2005654</v>
      </c>
      <c r="D47" s="39">
        <f>D21*('Preço máximo de venda'!$G$49-'Preço máximo de venda'!$G$44)</f>
        <v>458887308.95667011</v>
      </c>
      <c r="E47" s="40">
        <f>E21*('Preço máximo de venda'!$G$49-'Preço máximo de venda'!$G$44)</f>
        <v>444727024.68373287</v>
      </c>
      <c r="H47" s="38" t="s">
        <v>23</v>
      </c>
      <c r="I47" s="150">
        <f>B8*('Preço máximo de venda'!$G$64-'Preço máximo de venda'!$G$59)</f>
        <v>538984120.29428601</v>
      </c>
      <c r="J47" s="39">
        <f>C8*('Preço máximo de venda'!$G$64-'Preço máximo de venda'!$G$59)</f>
        <v>543464526.87747169</v>
      </c>
      <c r="K47" s="39">
        <f>D8*('Preço máximo de venda'!$G$64-'Preço máximo de venda'!$G$59)</f>
        <v>548283061.47714734</v>
      </c>
      <c r="L47" s="40">
        <f>E8*('Preço máximo de venda'!$G$64-'Preço máximo de venda'!$G$59)</f>
        <v>553048671.32397437</v>
      </c>
    </row>
    <row r="48" spans="1:12" ht="20" customHeight="1" x14ac:dyDescent="0.35">
      <c r="A48" s="38" t="s">
        <v>24</v>
      </c>
      <c r="B48" s="150">
        <f>B22*('Preço máximo de venda'!$H$49-'Preço máximo de venda'!$H$44)</f>
        <v>229406335.64380327</v>
      </c>
      <c r="C48" s="39">
        <f>C22*('Preço máximo de venda'!$H$49-'Preço máximo de venda'!$H$44)</f>
        <v>243616538.28887445</v>
      </c>
      <c r="D48" s="39">
        <f>D22*('Preço máximo de venda'!$H$49-'Preço máximo de venda'!$H$44)</f>
        <v>259145436.5527696</v>
      </c>
      <c r="E48" s="40">
        <f>E22*('Preço máximo de venda'!$H$49-'Preço máximo de venda'!$H$44)</f>
        <v>271756420.52915961</v>
      </c>
      <c r="H48" s="38" t="s">
        <v>24</v>
      </c>
      <c r="I48" s="150">
        <f>B9*('Preço máximo de venda'!$H$64-'Preço máximo de venda'!$H$59)</f>
        <v>264916625.23109546</v>
      </c>
      <c r="J48" s="39">
        <f>C9*('Preço máximo de venda'!$H$64-'Preço máximo de venda'!$H$59)</f>
        <v>284148825.58829606</v>
      </c>
      <c r="K48" s="39">
        <f>D9*('Preço máximo de venda'!$H$64-'Preço máximo de venda'!$H$59)</f>
        <v>305288648.316742</v>
      </c>
      <c r="L48" s="40">
        <f>E9*('Preço máximo de venda'!$H$64-'Preço máximo de venda'!$H$59)</f>
        <v>323397619.43189025</v>
      </c>
    </row>
    <row r="49" spans="1:12" ht="20" customHeight="1" x14ac:dyDescent="0.35">
      <c r="A49" s="38" t="s">
        <v>25</v>
      </c>
      <c r="B49" s="150">
        <f>B23*('Preço máximo de venda'!$J$49-'Preço máximo de venda'!$J$44)</f>
        <v>615524721.47562265</v>
      </c>
      <c r="C49" s="39">
        <f>C23*('Preço máximo de venda'!$J$49-'Preço máximo de venda'!$J$44)</f>
        <v>620592934.42697763</v>
      </c>
      <c r="D49" s="39">
        <f>D23*('Preço máximo de venda'!$J$49-'Preço máximo de venda'!$J$44)</f>
        <v>612383702.12637424</v>
      </c>
      <c r="E49" s="40">
        <f>E23*('Preço máximo de venda'!$J$49-'Preço máximo de venda'!$J$44)</f>
        <v>604283061.93378055</v>
      </c>
      <c r="H49" s="38" t="s">
        <v>25</v>
      </c>
      <c r="I49" s="150">
        <f>B10*('Preço máximo de venda'!$J$64-'Preço máximo de venda'!$J$59)</f>
        <v>647531612.66953492</v>
      </c>
      <c r="J49" s="39">
        <f>C10*('Preço máximo de venda'!$J$64-'Preço máximo de venda'!$J$59)</f>
        <v>661428947.84118199</v>
      </c>
      <c r="K49" s="39">
        <f>D10*('Preço máximo de venda'!$J$64-'Preço máximo de venda'!$J$59)</f>
        <v>661428947.84118199</v>
      </c>
      <c r="L49" s="40">
        <f>E10*('Preço máximo de venda'!$J$64-'Preço máximo de venda'!$J$59)</f>
        <v>661428947.84118199</v>
      </c>
    </row>
    <row r="50" spans="1:12" ht="20" customHeight="1" thickBot="1" x14ac:dyDescent="0.4">
      <c r="A50" s="41" t="s">
        <v>26</v>
      </c>
      <c r="B50" s="42">
        <f>B24*('Preço máximo de venda'!$I$49-'Preço máximo de venda'!$I$44)</f>
        <v>1377920686.8002489</v>
      </c>
      <c r="C50" s="43">
        <f>C24*('Preço máximo de venda'!$I$49-'Preço máximo de venda'!$I$44)</f>
        <v>1323883388.3199127</v>
      </c>
      <c r="D50" s="43">
        <f>D24*('Preço máximo de venda'!$I$49-'Preço máximo de venda'!$I$44)</f>
        <v>1262860865.4748466</v>
      </c>
      <c r="E50" s="44">
        <f>E24*('Preço máximo de venda'!$I$49-'Preço máximo de venda'!$I$44)</f>
        <v>1198765914.1075678</v>
      </c>
      <c r="H50" s="41" t="s">
        <v>26</v>
      </c>
      <c r="I50" s="42">
        <f>B11*('Preço máximo de venda'!$I$64-'Preço máximo de venda'!$I$59)</f>
        <v>1512905762.9699235</v>
      </c>
      <c r="J50" s="43">
        <f>C11*('Preço máximo de venda'!$I$64-'Preço máximo de venda'!$I$59)</f>
        <v>1534925793.6103654</v>
      </c>
      <c r="K50" s="43">
        <f>D11*('Preço máximo de venda'!$I$64-'Preço máximo de venda'!$I$59)</f>
        <v>1546710596.1713026</v>
      </c>
      <c r="L50" s="44">
        <f>E11*('Preço máximo de venda'!$I$64-'Preço máximo de venda'!$I$59)</f>
        <v>1551377910.2940481</v>
      </c>
    </row>
    <row r="51" spans="1:12" ht="20" customHeight="1" thickTop="1" thickBot="1" x14ac:dyDescent="0.45">
      <c r="A51" s="151" t="s">
        <v>33</v>
      </c>
      <c r="B51" s="45">
        <f>SUM(B43:B50)</f>
        <v>7135823474.4871407</v>
      </c>
      <c r="C51" s="46">
        <f t="shared" ref="C51:E51" si="2">SUM(C43:C50)</f>
        <v>7105746306.784936</v>
      </c>
      <c r="D51" s="46">
        <f t="shared" si="2"/>
        <v>7058041930.1377773</v>
      </c>
      <c r="E51" s="47">
        <f t="shared" si="2"/>
        <v>7000566803.8734417</v>
      </c>
      <c r="H51" s="151" t="s">
        <v>33</v>
      </c>
      <c r="I51" s="45">
        <f>SUM(I43:I50)</f>
        <v>7739000626.5864658</v>
      </c>
      <c r="J51" s="46">
        <f t="shared" ref="J51:L51" si="3">SUM(J43:J50)</f>
        <v>7832481222.3287792</v>
      </c>
      <c r="K51" s="46">
        <f t="shared" si="3"/>
        <v>7904702101.1153393</v>
      </c>
      <c r="L51" s="47">
        <f t="shared" si="3"/>
        <v>7962238974.6009893</v>
      </c>
    </row>
    <row r="52" spans="1:12" ht="13.15" thickTop="1" x14ac:dyDescent="0.35"/>
    <row r="53" spans="1:12" ht="13.15" thickBot="1" x14ac:dyDescent="0.4"/>
    <row r="54" spans="1:12" ht="25.05" customHeight="1" thickTop="1" x14ac:dyDescent="0.35">
      <c r="A54" s="192" t="s">
        <v>105</v>
      </c>
      <c r="B54" s="193"/>
      <c r="C54" s="193"/>
      <c r="D54" s="193"/>
      <c r="E54" s="194"/>
    </row>
    <row r="55" spans="1:12" ht="20" customHeight="1" x14ac:dyDescent="0.35">
      <c r="A55" s="34" t="s">
        <v>18</v>
      </c>
      <c r="B55" s="35">
        <f>[7]Pressupostos!$B$8</f>
        <v>2021</v>
      </c>
      <c r="C55" s="36">
        <f>B55+1</f>
        <v>2022</v>
      </c>
      <c r="D55" s="36">
        <f>C55+1</f>
        <v>2023</v>
      </c>
      <c r="E55" s="37">
        <f>D55+1</f>
        <v>2024</v>
      </c>
    </row>
    <row r="56" spans="1:12" ht="20" customHeight="1" x14ac:dyDescent="0.35">
      <c r="A56" s="38" t="s">
        <v>19</v>
      </c>
      <c r="B56" s="150">
        <f>B4*('Preço máximo de venda'!$C$79-'Preço máximo de venda'!$C$74)</f>
        <v>995440186.94891846</v>
      </c>
      <c r="C56" s="39">
        <f>C4*('Preço máximo de venda'!$C$79-'Preço máximo de venda'!$C$74)</f>
        <v>995414470.33563673</v>
      </c>
      <c r="D56" s="39">
        <f>D4*('Preço máximo de venda'!$C$79-'Preço máximo de venda'!$C$74)</f>
        <v>998288895.77219403</v>
      </c>
      <c r="E56" s="40">
        <f>E4*('Preço máximo de venda'!$C$79-'Preço máximo de venda'!$C$74)</f>
        <v>1001227796.059473</v>
      </c>
    </row>
    <row r="57" spans="1:12" ht="20" customHeight="1" x14ac:dyDescent="0.35">
      <c r="A57" s="38" t="s">
        <v>20</v>
      </c>
      <c r="B57" s="150">
        <f>B5*('Preço máximo de venda'!$D$79-'Preço máximo de venda'!$D$74)</f>
        <v>847972082.63386989</v>
      </c>
      <c r="C57" s="39">
        <f>C5*('Preço máximo de venda'!$D$79-'Preço máximo de venda'!$D$74)</f>
        <v>854922794.72009659</v>
      </c>
      <c r="D57" s="39">
        <f>D5*('Preço máximo de venda'!$D$79-'Preço máximo de venda'!$D$74)</f>
        <v>880676325.99267995</v>
      </c>
      <c r="E57" s="40">
        <f>E5*('Preço máximo de venda'!$D$79-'Preço máximo de venda'!$D$74)</f>
        <v>906562887.56719148</v>
      </c>
    </row>
    <row r="58" spans="1:12" ht="20" customHeight="1" x14ac:dyDescent="0.35">
      <c r="A58" s="38" t="s">
        <v>21</v>
      </c>
      <c r="B58" s="150">
        <f>B6*('Preço máximo de venda'!$E$79-'Preço máximo de venda'!$E$74)</f>
        <v>28777993.499632135</v>
      </c>
      <c r="C58" s="39">
        <f>C6*('Preço máximo de venda'!$E$79-'Preço máximo de venda'!$E$74)</f>
        <v>28806771.493131761</v>
      </c>
      <c r="D58" s="39">
        <f>D6*('Preço máximo de venda'!$E$79-'Preço máximo de venda'!$E$74)</f>
        <v>28835578.26462489</v>
      </c>
      <c r="E58" s="40">
        <f>E6*('Preço máximo de venda'!$E$79-'Preço máximo de venda'!$E$74)</f>
        <v>28864413.84288951</v>
      </c>
    </row>
    <row r="59" spans="1:12" ht="20" customHeight="1" x14ac:dyDescent="0.35">
      <c r="A59" s="38" t="s">
        <v>22</v>
      </c>
      <c r="B59" s="150">
        <f>B7*('Preço máximo de venda'!$F$79-'Preço máximo de venda'!$F$74)</f>
        <v>2866391997.0379362</v>
      </c>
      <c r="C59" s="39">
        <f>C7*('Preço máximo de venda'!$F$79-'Preço máximo de venda'!$F$74)</f>
        <v>2893067388.9363275</v>
      </c>
      <c r="D59" s="39">
        <f>D7*('Preço máximo de venda'!$F$79-'Preço máximo de venda'!$F$74)</f>
        <v>2899227846.9015493</v>
      </c>
      <c r="E59" s="40">
        <f>E7*('Preço máximo de venda'!$F$79-'Preço máximo de venda'!$F$74)</f>
        <v>2900769138.4382763</v>
      </c>
    </row>
    <row r="60" spans="1:12" ht="20" customHeight="1" x14ac:dyDescent="0.35">
      <c r="A60" s="38" t="s">
        <v>23</v>
      </c>
      <c r="B60" s="150">
        <f>B8*('Preço máximo de venda'!$G$79-'Preço máximo de venda'!$G$74)</f>
        <v>537619143.61547983</v>
      </c>
      <c r="C60" s="39">
        <f>C8*('Preço máximo de venda'!$G$79-'Preço máximo de venda'!$G$74)</f>
        <v>542088203.57402968</v>
      </c>
      <c r="D60" s="39">
        <f>D8*('Preço máximo de venda'!$G$79-'Preço máximo de venda'!$G$74)</f>
        <v>546894535.24024785</v>
      </c>
      <c r="E60" s="40">
        <f>E8*('Preço máximo de venda'!$G$79-'Preço máximo de venda'!$G$74)</f>
        <v>551648076.18549454</v>
      </c>
    </row>
    <row r="61" spans="1:12" ht="20" customHeight="1" x14ac:dyDescent="0.35">
      <c r="A61" s="38" t="s">
        <v>24</v>
      </c>
      <c r="B61" s="150">
        <f>B9*('Preço máximo de venda'!$H$79-'Preço máximo de venda'!$H$74)</f>
        <v>261412437.066663</v>
      </c>
      <c r="C61" s="39">
        <f>C9*('Preço máximo de venda'!$H$79-'Preço máximo de venda'!$H$74)</f>
        <v>280390243.23924452</v>
      </c>
      <c r="D61" s="39">
        <f>D9*('Preço máximo de venda'!$H$79-'Preço máximo de venda'!$H$74)</f>
        <v>301250438.68292272</v>
      </c>
      <c r="E61" s="40">
        <f>E9*('Preço máximo de venda'!$H$79-'Preço máximo de venda'!$H$74)</f>
        <v>319119873.14310867</v>
      </c>
    </row>
    <row r="62" spans="1:12" ht="20" customHeight="1" x14ac:dyDescent="0.35">
      <c r="A62" s="38" t="s">
        <v>25</v>
      </c>
      <c r="B62" s="150">
        <f>B10*('Preço máximo de venda'!$J$79-'Preço máximo de venda'!$J$74)</f>
        <v>646703520.53565371</v>
      </c>
      <c r="C62" s="39">
        <f>C10*('Preço máximo de venda'!$J$79-'Preço máximo de venda'!$J$74)</f>
        <v>660583083.1789602</v>
      </c>
      <c r="D62" s="39">
        <f>D10*('Preço máximo de venda'!$J$79-'Preço máximo de venda'!$J$74)</f>
        <v>660583083.1789602</v>
      </c>
      <c r="E62" s="40">
        <f>E10*('Preço máximo de venda'!$J$79-'Preço máximo de venda'!$J$74)</f>
        <v>660583083.1789602</v>
      </c>
    </row>
    <row r="63" spans="1:12" ht="20" customHeight="1" thickBot="1" x14ac:dyDescent="0.4">
      <c r="A63" s="41" t="s">
        <v>26</v>
      </c>
      <c r="B63" s="42">
        <f>B11*('Preço máximo de venda'!$I$79-'Preço máximo de venda'!$I$74)</f>
        <v>1513063536.8064659</v>
      </c>
      <c r="C63" s="43">
        <f>C11*('Preço máximo de venda'!$I$79-'Preço máximo de venda'!$I$74)</f>
        <v>1535085863.8124843</v>
      </c>
      <c r="D63" s="43">
        <f>D11*('Preço máximo de venda'!$I$79-'Preço máximo de venda'!$I$74)</f>
        <v>1546871895.3551323</v>
      </c>
      <c r="E63" s="44">
        <f>E11*('Preço máximo de venda'!$I$79-'Preço máximo de venda'!$I$74)</f>
        <v>1551539696.2101474</v>
      </c>
    </row>
    <row r="64" spans="1:12" ht="20" customHeight="1" thickTop="1" thickBot="1" x14ac:dyDescent="0.45">
      <c r="A64" s="151" t="s">
        <v>33</v>
      </c>
      <c r="B64" s="45">
        <f>SUM(B56:B63)</f>
        <v>7697380898.144619</v>
      </c>
      <c r="C64" s="46">
        <f t="shared" ref="C64:E64" si="4">SUM(C56:C63)</f>
        <v>7790358819.2899113</v>
      </c>
      <c r="D64" s="46">
        <f t="shared" si="4"/>
        <v>7862628599.3883104</v>
      </c>
      <c r="E64" s="47">
        <f t="shared" si="4"/>
        <v>7920314964.6255398</v>
      </c>
    </row>
    <row r="65" ht="13.15" thickTop="1" x14ac:dyDescent="0.35"/>
  </sheetData>
  <mergeCells count="8">
    <mergeCell ref="A54:E54"/>
    <mergeCell ref="A2:E2"/>
    <mergeCell ref="H2:L2"/>
    <mergeCell ref="A15:E15"/>
    <mergeCell ref="A28:E28"/>
    <mergeCell ref="H28:L28"/>
    <mergeCell ref="A41:E41"/>
    <mergeCell ref="H41:L41"/>
  </mergeCells>
  <pageMargins left="0.7" right="0.7" top="0.75" bottom="0.75" header="0.3" footer="0.3"/>
  <pageSetup paperSize="9" orientation="portrait" r:id="rId1"/>
  <ignoredErrors>
    <ignoredError sqref="B30:E37 I30:L37 B43:E51 I43:L50 B56:E63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BB768-E5AE-4857-BCEB-51355B0D47AD}">
  <sheetPr>
    <tabColor rgb="FFFFC000"/>
  </sheetPr>
  <dimension ref="A2:I63"/>
  <sheetViews>
    <sheetView showGridLines="0" tabSelected="1" topLeftCell="B1" zoomScaleNormal="100" workbookViewId="0">
      <selection activeCell="H17" sqref="H17"/>
    </sheetView>
  </sheetViews>
  <sheetFormatPr defaultColWidth="9.06640625" defaultRowHeight="13.15" x14ac:dyDescent="0.35"/>
  <cols>
    <col min="1" max="1" width="60.59765625" style="80" customWidth="1"/>
    <col min="2" max="3" width="12.59765625" style="80" customWidth="1"/>
    <col min="4" max="4" width="38.796875" style="80" customWidth="1"/>
    <col min="5" max="5" width="12.59765625" style="80" customWidth="1"/>
    <col min="6" max="6" width="24" style="80" bestFit="1" customWidth="1"/>
    <col min="7" max="9" width="12.59765625" style="80" customWidth="1"/>
    <col min="10" max="16384" width="9.06640625" style="80"/>
  </cols>
  <sheetData>
    <row r="2" spans="1:9" x14ac:dyDescent="0.35">
      <c r="C2" s="86" t="s">
        <v>59</v>
      </c>
    </row>
    <row r="3" spans="1:9" ht="18" customHeight="1" x14ac:dyDescent="0.35">
      <c r="A3" s="195" t="str">
        <f>IF('[4]Dados iniciais'!D7="",CONCATENATE("XYZ, LDA"),CONCATENATE(UPPER('[4]Dados iniciais'!D7)))</f>
        <v>ENACOL, S.A.</v>
      </c>
      <c r="B3" s="196"/>
      <c r="C3" s="197"/>
      <c r="E3" s="105" t="s">
        <v>91</v>
      </c>
      <c r="F3" s="104" t="s">
        <v>92</v>
      </c>
    </row>
    <row r="4" spans="1:9" ht="18" customHeight="1" x14ac:dyDescent="0.35">
      <c r="A4" s="198" t="s">
        <v>67</v>
      </c>
      <c r="B4" s="95">
        <v>2019</v>
      </c>
      <c r="C4" s="89">
        <v>2020</v>
      </c>
      <c r="E4" s="105" t="s">
        <v>38</v>
      </c>
      <c r="F4" s="104" t="str">
        <f>'Preço máximo de venda'!$C$4</f>
        <v>Média de 2021</v>
      </c>
    </row>
    <row r="5" spans="1:9" ht="18" customHeight="1" x14ac:dyDescent="0.35">
      <c r="A5" s="199"/>
      <c r="B5" s="95" t="s">
        <v>42</v>
      </c>
      <c r="C5" s="89" t="s">
        <v>42</v>
      </c>
      <c r="E5" s="105" t="s">
        <v>96</v>
      </c>
      <c r="F5" s="104" t="s">
        <v>171</v>
      </c>
    </row>
    <row r="6" spans="1:9" ht="15" customHeight="1" x14ac:dyDescent="0.35">
      <c r="A6" s="81" t="s">
        <v>43</v>
      </c>
      <c r="B6" s="88">
        <f>SUM(B7,B13)</f>
        <v>18120325.534981556</v>
      </c>
      <c r="C6" s="87">
        <f>SUM(C7,C13)</f>
        <v>18016865.534981556</v>
      </c>
      <c r="E6" s="105" t="s">
        <v>172</v>
      </c>
      <c r="F6" s="104">
        <v>2024</v>
      </c>
    </row>
    <row r="7" spans="1:9" ht="15" customHeight="1" x14ac:dyDescent="0.35">
      <c r="A7" s="109" t="s">
        <v>60</v>
      </c>
      <c r="B7" s="85">
        <f>B8+B11+B12</f>
        <v>18053390.534981556</v>
      </c>
      <c r="C7" s="83">
        <f>C8+C11+C12</f>
        <v>17954865.534981556</v>
      </c>
    </row>
    <row r="8" spans="1:9" ht="15" customHeight="1" x14ac:dyDescent="0.35">
      <c r="A8" s="110" t="s">
        <v>61</v>
      </c>
      <c r="B8" s="85">
        <f>B9+B10</f>
        <v>7683673.5349815544</v>
      </c>
      <c r="C8" s="83">
        <f>C9+C10</f>
        <v>7585148.5349815544</v>
      </c>
      <c r="H8" s="104">
        <v>2019</v>
      </c>
      <c r="I8" s="104">
        <v>2020</v>
      </c>
    </row>
    <row r="9" spans="1:9" ht="15" customHeight="1" x14ac:dyDescent="0.35">
      <c r="A9" s="111" t="s">
        <v>66</v>
      </c>
      <c r="B9" s="99" cm="1">
        <f t="array" ref="B9">_xlfn.IFS($F$6=2021,_xlfn.IFS($F$5="Mais provável",'RIA - Enacol - Junção'!$B$38/1000,$F$5="Otimista",'RIA - Enacol - Junção'!$I$38/1000,$F$5="Pessimista",'RIA - Enacol - Junção'!$B$51/1000,$F$5="Ponderado",'RIA - Enacol - Junção'!$I$51/1000,$F$5="Custos aceites",'RIA - Enacol - Junção'!$B$64/1000),$F$6=2022,_xlfn.IFS($F$5="Mais provável",'RIA - Enacol - Junção'!$C$38/1000,$F$5="Otimista",'RIA - Enacol - Junção'!$J$38/1000,$F$5="Pessimista",'RIA - Enacol - Junção'!$C$51/1000,$F$5="Ponderado",'RIA - Enacol - Junção'!$J$51/1000,$F$5="Custos aceites",'RIA - Enacol - Junção'!$C$64/1000),$F$6=2023,_xlfn.IFS($F$5="Mais provável",'RIA - Enacol - Junção'!$D$38/1000,$F$5="Otimista",'RIA - Enacol - Junção'!$K$38/1000,$F$5="Pessimista",'RIA - Enacol - Junção'!$D$51/1000,$F$5="Ponderado",'RIA - Enacol - Junção'!$K$51/1000,$F$5="Custos aceites",'RIA - Enacol - Junção'!$D$64/1000),$F$6=2024,_xlfn.IFS($F$5="Mais provável",'RIA - Enacol - Junção'!$E$38/1000,$F$5="Otimista",'RIA - Enacol - Junção'!$L$38/1000,$F$5="Pessimista",'RIA - Enacol - Junção'!$E$51/1000,$F$5="Ponderado",'RIA - Enacol - Junção'!$L$51/1000,$F$5="Custos aceites",'RIA - Enacol - Junção'!$E$64/1000),$F$6="Média do quadriénio",_xlfn.IFS($F$5="Mais provável",AVERAGE('RIA - Enacol - Junção'!$B$38:$E$38)/1000,$F$5="Otimista",AVERAGE('RIA - Enacol - Junção'!$I$38:$L$38)/1000,$F$5="Pessimista",AVERAGE('RIA - Enacol - Junção'!$B$51:$E$51)/1000,$F$5="Ponderado",AVERAGE('RIA - Enacol - Junção'!$I$51:$L$51)/1000,$F$5="Custos aceites",AVERAGE('RIA - Enacol - Junção'!$B$64:$E$64)/1000))</f>
        <v>7269296.5349815544</v>
      </c>
      <c r="C9" s="99" cm="1">
        <f t="array" ref="C9">_xlfn.IFS($F$6=2021,_xlfn.IFS($F$5="Mais provável",'RIA - Enacol - Junção'!$B$38/1000,$F$5="Otimista",'RIA - Enacol - Junção'!$I$38/1000,$F$5="Pessimista",'RIA - Enacol - Junção'!$B$51/1000,$F$5="Ponderado",'RIA - Enacol - Junção'!$I$51/1000,$F$5="Custos aceites",'RIA - Enacol - Junção'!$B$64/1000),$F$6=2022,_xlfn.IFS($F$5="Mais provável",'RIA - Enacol - Junção'!$C$38/1000,$F$5="Otimista",'RIA - Enacol - Junção'!$J$38/1000,$F$5="Pessimista",'RIA - Enacol - Junção'!$C$51/1000,$F$5="Ponderado",'RIA - Enacol - Junção'!$J$51/1000,$F$5="Custos aceites",'RIA - Enacol - Junção'!$C$64/1000),$F$6=2023,_xlfn.IFS($F$5="Mais provável",'RIA - Enacol - Junção'!$D$38/1000,$F$5="Otimista",'RIA - Enacol - Junção'!$K$38/1000,$F$5="Pessimista",'RIA - Enacol - Junção'!$D$51/1000,$F$5="Ponderado",'RIA - Enacol - Junção'!$K$51/1000,$F$5="Custos aceites",'RIA - Enacol - Junção'!$D$64/1000),$F$6=2024,_xlfn.IFS($F$5="Mais provável",'RIA - Enacol - Junção'!$E$38/1000,$F$5="Otimista",'RIA - Enacol - Junção'!$L$38/1000,$F$5="Pessimista",'RIA - Enacol - Junção'!$E$51/1000,$F$5="Ponderado",'RIA - Enacol - Junção'!$L$51/1000,$F$5="Custos aceites",'RIA - Enacol - Junção'!$E$64/1000),$F$6="Média do quadriénio",_xlfn.IFS($F$5="Mais provável",AVERAGE('RIA - Enacol - Junção'!$B$38:$E$38)/1000,$F$5="Otimista",AVERAGE('RIA - Enacol - Junção'!$I$38:$L$38)/1000,$F$5="Pessimista",AVERAGE('RIA - Enacol - Junção'!$B$51:$E$51)/1000,$F$5="Ponderado",AVERAGE('RIA - Enacol - Junção'!$I$51:$L$51)/1000,$F$5="Custos aceites",AVERAGE('RIA - Enacol - Junção'!$B$64:$E$64)/1000))</f>
        <v>7269296.5349815544</v>
      </c>
    </row>
    <row r="10" spans="1:9" ht="15" customHeight="1" x14ac:dyDescent="0.35">
      <c r="A10" s="111" t="s">
        <v>89</v>
      </c>
      <c r="B10" s="85">
        <v>414377</v>
      </c>
      <c r="C10" s="83">
        <v>315852</v>
      </c>
      <c r="G10" s="86" t="s">
        <v>116</v>
      </c>
      <c r="H10" s="102">
        <f>AVERAGE([4]Análise!$D$25:$E$25)</f>
        <v>5245524.25</v>
      </c>
      <c r="I10" s="102">
        <f>AVERAGE([4]Análise!$E$25:$F$25)</f>
        <v>4755146</v>
      </c>
    </row>
    <row r="11" spans="1:9" ht="15" customHeight="1" x14ac:dyDescent="0.35">
      <c r="A11" s="110" t="s">
        <v>62</v>
      </c>
      <c r="B11" s="85">
        <v>5077092</v>
      </c>
      <c r="C11" s="101">
        <f>IF($F$3="Sim",B11,1665184)</f>
        <v>5077092</v>
      </c>
      <c r="G11" s="86" t="s">
        <v>95</v>
      </c>
      <c r="H11" s="102">
        <f>AVERAGE([4]Análise!$D$21:$E$21)</f>
        <v>4054924.5</v>
      </c>
      <c r="I11" s="102">
        <f>AVERAGE([4]Análise!$E$21:$F$21)</f>
        <v>3814576</v>
      </c>
    </row>
    <row r="12" spans="1:9" ht="15" customHeight="1" x14ac:dyDescent="0.35">
      <c r="A12" s="110" t="s">
        <v>63</v>
      </c>
      <c r="B12" s="85">
        <v>5292625</v>
      </c>
      <c r="C12" s="101">
        <f>IF($F$3="Sim",B12,2110192)</f>
        <v>5292625</v>
      </c>
      <c r="G12" s="86" t="s">
        <v>117</v>
      </c>
      <c r="H12" s="103">
        <f>B36/H10</f>
        <v>0.11781020708241691</v>
      </c>
      <c r="I12" s="103">
        <f>C36/I10</f>
        <v>0.13189750601734229</v>
      </c>
    </row>
    <row r="13" spans="1:9" ht="15" customHeight="1" x14ac:dyDescent="0.35">
      <c r="A13" s="109" t="s">
        <v>64</v>
      </c>
      <c r="B13" s="85">
        <f>B14+B15</f>
        <v>66935</v>
      </c>
      <c r="C13" s="83">
        <f>C14+C15</f>
        <v>62000</v>
      </c>
      <c r="G13" s="86" t="s">
        <v>90</v>
      </c>
      <c r="H13" s="103">
        <f>$B$49/H11</f>
        <v>0.12551321841968999</v>
      </c>
      <c r="I13" s="103">
        <f>C49/I11</f>
        <v>0.1129323684215109</v>
      </c>
    </row>
    <row r="14" spans="1:9" ht="15" customHeight="1" x14ac:dyDescent="0.35">
      <c r="A14" s="110" t="s">
        <v>61</v>
      </c>
      <c r="B14" s="85">
        <v>62593</v>
      </c>
      <c r="C14" s="83">
        <v>62000</v>
      </c>
    </row>
    <row r="15" spans="1:9" ht="15" customHeight="1" x14ac:dyDescent="0.35">
      <c r="A15" s="110" t="s">
        <v>65</v>
      </c>
      <c r="B15" s="85">
        <v>4342</v>
      </c>
      <c r="C15" s="83"/>
      <c r="G15" s="86" t="s">
        <v>118</v>
      </c>
      <c r="H15" s="80" t="s">
        <v>120</v>
      </c>
    </row>
    <row r="16" spans="1:9" ht="15" customHeight="1" x14ac:dyDescent="0.35">
      <c r="A16" s="82" t="s">
        <v>44</v>
      </c>
      <c r="B16" s="85">
        <v>0</v>
      </c>
      <c r="C16" s="85">
        <v>0</v>
      </c>
      <c r="G16" s="86" t="s">
        <v>94</v>
      </c>
      <c r="H16" s="80" t="s">
        <v>119</v>
      </c>
    </row>
    <row r="17" spans="1:4" ht="15" customHeight="1" x14ac:dyDescent="0.35">
      <c r="A17" s="90" t="s">
        <v>68</v>
      </c>
      <c r="B17" s="96">
        <f>B6+B16</f>
        <v>18120325.534981556</v>
      </c>
      <c r="C17" s="91">
        <f>C6+C16</f>
        <v>18016865.534981556</v>
      </c>
    </row>
    <row r="18" spans="1:4" ht="15" customHeight="1" x14ac:dyDescent="0.35">
      <c r="A18" s="82" t="s">
        <v>45</v>
      </c>
      <c r="B18" s="85">
        <v>0</v>
      </c>
      <c r="C18" s="85">
        <v>0</v>
      </c>
    </row>
    <row r="19" spans="1:4" ht="15" customHeight="1" x14ac:dyDescent="0.35">
      <c r="A19" s="82" t="s">
        <v>46</v>
      </c>
      <c r="B19" s="85">
        <v>307</v>
      </c>
      <c r="C19" s="85">
        <v>0</v>
      </c>
    </row>
    <row r="20" spans="1:4" ht="15" customHeight="1" x14ac:dyDescent="0.35">
      <c r="A20" s="90" t="s">
        <v>69</v>
      </c>
      <c r="B20" s="96">
        <f>SUM(B17:B19)</f>
        <v>18120632.534981556</v>
      </c>
      <c r="C20" s="91">
        <f>SUM(C17:C19)</f>
        <v>18016865.534981556</v>
      </c>
    </row>
    <row r="21" spans="1:4" ht="15" customHeight="1" x14ac:dyDescent="0.35">
      <c r="A21" s="82" t="s">
        <v>70</v>
      </c>
      <c r="B21" s="85">
        <v>273669</v>
      </c>
      <c r="C21" s="83">
        <v>136527</v>
      </c>
    </row>
    <row r="22" spans="1:4" ht="15" customHeight="1" x14ac:dyDescent="0.35">
      <c r="A22" s="90" t="s">
        <v>71</v>
      </c>
      <c r="B22" s="96">
        <f>SUM(B20:B21)</f>
        <v>18394301.534981556</v>
      </c>
      <c r="C22" s="91">
        <f>SUM(C20:C21)</f>
        <v>18153392.534981556</v>
      </c>
    </row>
    <row r="23" spans="1:4" ht="15" customHeight="1" x14ac:dyDescent="0.35">
      <c r="A23" s="82" t="s">
        <v>47</v>
      </c>
      <c r="B23" s="85">
        <f>-1*0.84*B6</f>
        <v>-15221073.449384507</v>
      </c>
      <c r="C23" s="83">
        <f>-1*0.84*C6</f>
        <v>-15134167.049384506</v>
      </c>
      <c r="D23" s="100" t="s">
        <v>87</v>
      </c>
    </row>
    <row r="24" spans="1:4" ht="15" customHeight="1" x14ac:dyDescent="0.35">
      <c r="A24" s="82" t="s">
        <v>72</v>
      </c>
      <c r="B24" s="85">
        <f>-1*0.07*B6</f>
        <v>-1268422.7874487091</v>
      </c>
      <c r="C24" s="83">
        <f>-1*0.07*C6</f>
        <v>-1261180.5874487089</v>
      </c>
      <c r="D24" s="100" t="s">
        <v>88</v>
      </c>
    </row>
    <row r="25" spans="1:4" ht="15" customHeight="1" x14ac:dyDescent="0.35">
      <c r="A25" s="82" t="s">
        <v>73</v>
      </c>
      <c r="B25" s="85">
        <v>0</v>
      </c>
      <c r="C25" s="85">
        <v>0</v>
      </c>
    </row>
    <row r="26" spans="1:4" ht="15" customHeight="1" x14ac:dyDescent="0.35">
      <c r="A26" s="82" t="s">
        <v>74</v>
      </c>
      <c r="B26" s="85">
        <v>0</v>
      </c>
      <c r="C26" s="85">
        <v>0</v>
      </c>
    </row>
    <row r="27" spans="1:4" ht="15" customHeight="1" x14ac:dyDescent="0.35">
      <c r="A27" s="90" t="s">
        <v>75</v>
      </c>
      <c r="B27" s="96">
        <f>SUM(B23:B26)</f>
        <v>-16489496.236833217</v>
      </c>
      <c r="C27" s="91">
        <f>SUM(C23:C26)</f>
        <v>-16395347.636833215</v>
      </c>
    </row>
    <row r="28" spans="1:4" ht="18" customHeight="1" x14ac:dyDescent="0.35">
      <c r="A28" s="84" t="s">
        <v>76</v>
      </c>
      <c r="B28" s="97">
        <f>SUM(B22,B27)</f>
        <v>1904805.2981483396</v>
      </c>
      <c r="C28" s="92">
        <f>SUM(C22,C27)</f>
        <v>1758044.8981483411</v>
      </c>
    </row>
    <row r="29" spans="1:4" ht="15" customHeight="1" x14ac:dyDescent="0.35">
      <c r="A29" s="82" t="s">
        <v>77</v>
      </c>
      <c r="B29" s="85">
        <v>-488427</v>
      </c>
      <c r="C29" s="83">
        <v>-371912</v>
      </c>
    </row>
    <row r="30" spans="1:4" ht="15" customHeight="1" x14ac:dyDescent="0.35">
      <c r="A30" s="82" t="s">
        <v>78</v>
      </c>
      <c r="B30" s="85">
        <v>-450049</v>
      </c>
      <c r="C30" s="83">
        <v>-388206</v>
      </c>
    </row>
    <row r="31" spans="1:4" ht="15" customHeight="1" x14ac:dyDescent="0.35">
      <c r="A31" s="82" t="s">
        <v>79</v>
      </c>
      <c r="B31" s="85">
        <v>-108219</v>
      </c>
      <c r="C31" s="83">
        <v>-92057</v>
      </c>
    </row>
    <row r="32" spans="1:4" ht="15" customHeight="1" x14ac:dyDescent="0.35">
      <c r="A32" s="90" t="s">
        <v>80</v>
      </c>
      <c r="B32" s="96">
        <f>SUM(B29:B31)</f>
        <v>-1046695</v>
      </c>
      <c r="C32" s="91">
        <f>SUM(C29:C31)</f>
        <v>-852175</v>
      </c>
    </row>
    <row r="33" spans="1:4" ht="18" customHeight="1" x14ac:dyDescent="0.35">
      <c r="A33" s="84" t="s">
        <v>81</v>
      </c>
      <c r="B33" s="97">
        <f>SUM(B28,B32)</f>
        <v>858110.29814833961</v>
      </c>
      <c r="C33" s="92">
        <f>SUM(C28,C32)</f>
        <v>905869.8981483411</v>
      </c>
    </row>
    <row r="34" spans="1:4" ht="15" customHeight="1" x14ac:dyDescent="0.35">
      <c r="A34" s="82" t="s">
        <v>50</v>
      </c>
      <c r="B34" s="85">
        <v>0</v>
      </c>
      <c r="C34" s="85">
        <v>0</v>
      </c>
    </row>
    <row r="35" spans="1:4" ht="15" customHeight="1" x14ac:dyDescent="0.35">
      <c r="A35" s="82" t="s">
        <v>53</v>
      </c>
      <c r="B35" s="85">
        <v>-240134</v>
      </c>
      <c r="C35" s="83">
        <v>-278678</v>
      </c>
    </row>
    <row r="36" spans="1:4" ht="18" customHeight="1" x14ac:dyDescent="0.35">
      <c r="A36" s="84" t="s">
        <v>82</v>
      </c>
      <c r="B36" s="97">
        <f>SUM(B33:B35)</f>
        <v>617976.29814833961</v>
      </c>
      <c r="C36" s="92">
        <f>SUM(C33:C35)</f>
        <v>627191.8981483411</v>
      </c>
    </row>
    <row r="37" spans="1:4" ht="15" customHeight="1" x14ac:dyDescent="0.35">
      <c r="A37" s="82" t="s">
        <v>83</v>
      </c>
      <c r="B37" s="85">
        <v>4286</v>
      </c>
      <c r="C37" s="83">
        <v>4379</v>
      </c>
    </row>
    <row r="38" spans="1:4" ht="15" customHeight="1" x14ac:dyDescent="0.35">
      <c r="A38" s="82" t="s">
        <v>55</v>
      </c>
      <c r="B38" s="85">
        <v>0</v>
      </c>
      <c r="C38" s="83">
        <v>-3</v>
      </c>
    </row>
    <row r="39" spans="1:4" ht="18" customHeight="1" x14ac:dyDescent="0.35">
      <c r="A39" s="84" t="s">
        <v>84</v>
      </c>
      <c r="B39" s="97">
        <f>SUM(B36:B38)</f>
        <v>622262.29814833961</v>
      </c>
      <c r="C39" s="92">
        <f>SUM(C36:C38)</f>
        <v>631567.8981483411</v>
      </c>
    </row>
    <row r="40" spans="1:4" ht="15" customHeight="1" x14ac:dyDescent="0.35">
      <c r="A40" s="82" t="s">
        <v>48</v>
      </c>
      <c r="B40" s="85">
        <v>-27545</v>
      </c>
      <c r="C40" s="83">
        <v>-5096</v>
      </c>
    </row>
    <row r="41" spans="1:4" ht="15" customHeight="1" x14ac:dyDescent="0.35">
      <c r="A41" s="82" t="s">
        <v>49</v>
      </c>
      <c r="B41" s="85">
        <v>-37661</v>
      </c>
      <c r="C41" s="83">
        <v>-101514</v>
      </c>
    </row>
    <row r="42" spans="1:4" ht="15" customHeight="1" x14ac:dyDescent="0.35">
      <c r="A42" s="82" t="s">
        <v>51</v>
      </c>
      <c r="B42" s="85">
        <v>0</v>
      </c>
      <c r="C42" s="83">
        <v>0</v>
      </c>
    </row>
    <row r="43" spans="1:4" ht="15" customHeight="1" x14ac:dyDescent="0.35">
      <c r="A43" s="82" t="s">
        <v>52</v>
      </c>
      <c r="B43" s="85">
        <v>0</v>
      </c>
      <c r="C43" s="83">
        <v>0</v>
      </c>
    </row>
    <row r="44" spans="1:4" ht="15" customHeight="1" x14ac:dyDescent="0.35">
      <c r="A44" s="93" t="s">
        <v>54</v>
      </c>
      <c r="B44" s="85">
        <v>0</v>
      </c>
      <c r="C44" s="83">
        <v>0</v>
      </c>
    </row>
    <row r="45" spans="1:4" ht="15" customHeight="1" x14ac:dyDescent="0.35">
      <c r="A45" s="82" t="s">
        <v>85</v>
      </c>
      <c r="B45" s="85">
        <v>232990</v>
      </c>
      <c r="C45" s="83">
        <v>215591</v>
      </c>
    </row>
    <row r="46" spans="1:4" ht="15" customHeight="1" x14ac:dyDescent="0.35">
      <c r="A46" s="82" t="s">
        <v>86</v>
      </c>
      <c r="B46" s="85">
        <v>-133849</v>
      </c>
      <c r="C46" s="83">
        <v>-185122</v>
      </c>
    </row>
    <row r="47" spans="1:4" ht="18" customHeight="1" x14ac:dyDescent="0.35">
      <c r="A47" s="84" t="s">
        <v>56</v>
      </c>
      <c r="B47" s="97">
        <f>SUM(B39:B46)</f>
        <v>656197.29814833961</v>
      </c>
      <c r="C47" s="92">
        <f>SUM(C39:C46)</f>
        <v>555426.8981483411</v>
      </c>
    </row>
    <row r="48" spans="1:4" ht="18" customHeight="1" x14ac:dyDescent="0.35">
      <c r="A48" s="94" t="s">
        <v>57</v>
      </c>
      <c r="B48" s="98">
        <f>IF(B47&gt;0,-1*0.2244*B47,0)</f>
        <v>-147250.67370448739</v>
      </c>
      <c r="C48" s="98">
        <f>IF(C47&gt;0,-1*0.2244*C47,0)</f>
        <v>-124637.79594448773</v>
      </c>
      <c r="D48" s="100" t="s">
        <v>100</v>
      </c>
    </row>
    <row r="49" spans="1:3" ht="18" customHeight="1" x14ac:dyDescent="0.35">
      <c r="A49" s="84" t="s">
        <v>58</v>
      </c>
      <c r="B49" s="97">
        <f>SUM(B47:B48)</f>
        <v>508946.62444385223</v>
      </c>
      <c r="C49" s="92">
        <f>SUM(C47:C48)</f>
        <v>430789.10220385337</v>
      </c>
    </row>
    <row r="63" spans="1:3" x14ac:dyDescent="0.35">
      <c r="A63" s="86"/>
    </row>
  </sheetData>
  <mergeCells count="2">
    <mergeCell ref="A3:C3"/>
    <mergeCell ref="A4:A5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5" orientation="landscape" r:id="rId1"/>
  <headerFooter>
    <oddHeader>&amp;R&amp;"Times New Roman,Normal"Análise económico-financeira</oddHeader>
    <oddFooter>&amp;R&amp;"Times New Roman,Normal"A2MR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A819AB4-02DA-466D-9AB3-852E98C5C70F}">
          <x14:formula1>
            <xm:f>Lista!$K$1:$K$5</xm:f>
          </x14:formula1>
          <xm:sqref>F6</xm:sqref>
        </x14:dataValidation>
        <x14:dataValidation type="list" allowBlank="1" showInputMessage="1" showErrorMessage="1" xr:uid="{6C3E3A01-692E-405F-AE77-48D670474259}">
          <x14:formula1>
            <xm:f>Lista!$F$1:$F$5</xm:f>
          </x14:formula1>
          <xm:sqref>F5</xm:sqref>
        </x14:dataValidation>
        <x14:dataValidation type="list" allowBlank="1" showInputMessage="1" showErrorMessage="1" xr:uid="{3D6797AE-914B-46D2-BC7C-E71914FE475E}">
          <x14:formula1>
            <xm:f>Lista!$D$1:$D$2</xm:f>
          </x14:formula1>
          <xm:sqref>F3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741A-4026-4274-81D8-B08052901FD3}">
  <sheetPr>
    <tabColor rgb="FFFFC000"/>
  </sheetPr>
  <dimension ref="A2:I52"/>
  <sheetViews>
    <sheetView showGridLines="0" topLeftCell="B1" zoomScaleNormal="100" workbookViewId="0">
      <selection activeCell="F6" sqref="F6"/>
    </sheetView>
  </sheetViews>
  <sheetFormatPr defaultColWidth="9.06640625" defaultRowHeight="13.15" x14ac:dyDescent="0.35"/>
  <cols>
    <col min="1" max="1" width="60.59765625" style="80" customWidth="1"/>
    <col min="2" max="3" width="12.59765625" style="80" customWidth="1"/>
    <col min="4" max="4" width="31.06640625" style="80" bestFit="1" customWidth="1"/>
    <col min="5" max="5" width="9.06640625" style="80"/>
    <col min="6" max="6" width="24" style="80" bestFit="1" customWidth="1"/>
    <col min="7" max="16384" width="9.06640625" style="80"/>
  </cols>
  <sheetData>
    <row r="2" spans="1:9" x14ac:dyDescent="0.35">
      <c r="C2" s="86" t="s">
        <v>59</v>
      </c>
    </row>
    <row r="3" spans="1:9" ht="18" customHeight="1" x14ac:dyDescent="0.35">
      <c r="A3" s="195" t="str">
        <f>IF('[3]Dados iniciais'!D7="",CONCATENATE("XYZ, LDA"),CONCATENATE(UPPER('[3]Dados iniciais'!D7)))</f>
        <v>VIVO ENERGY, CABO VERDE, SA</v>
      </c>
      <c r="B3" s="196"/>
      <c r="C3" s="197"/>
      <c r="E3" s="105" t="s">
        <v>91</v>
      </c>
      <c r="F3" s="104" t="s">
        <v>92</v>
      </c>
    </row>
    <row r="4" spans="1:9" ht="18" customHeight="1" x14ac:dyDescent="0.35">
      <c r="A4" s="198" t="s">
        <v>67</v>
      </c>
      <c r="B4" s="95">
        <v>2019</v>
      </c>
      <c r="C4" s="89">
        <v>2020</v>
      </c>
      <c r="E4" s="105" t="s">
        <v>38</v>
      </c>
      <c r="F4" s="104" t="str">
        <f>'Preço máximo de venda'!$C$4</f>
        <v>Média de 2021</v>
      </c>
    </row>
    <row r="5" spans="1:9" ht="18" customHeight="1" x14ac:dyDescent="0.35">
      <c r="A5" s="199"/>
      <c r="B5" s="95" t="s">
        <v>42</v>
      </c>
      <c r="C5" s="89" t="s">
        <v>42</v>
      </c>
      <c r="E5" s="105" t="s">
        <v>96</v>
      </c>
      <c r="F5" s="104" t="s">
        <v>171</v>
      </c>
    </row>
    <row r="6" spans="1:9" ht="15" customHeight="1" x14ac:dyDescent="0.35">
      <c r="A6" s="81" t="s">
        <v>43</v>
      </c>
      <c r="B6" s="85">
        <f>B7+B14</f>
        <v>15798239.964625541</v>
      </c>
      <c r="C6" s="85">
        <f>C7+C14</f>
        <v>15731389.964625541</v>
      </c>
      <c r="E6" s="105" t="s">
        <v>172</v>
      </c>
      <c r="F6" s="104">
        <v>2024</v>
      </c>
    </row>
    <row r="7" spans="1:9" ht="15" customHeight="1" x14ac:dyDescent="0.35">
      <c r="A7" s="109" t="s">
        <v>60</v>
      </c>
      <c r="B7" s="85">
        <f>B8+B12+B13</f>
        <v>15593592.964625541</v>
      </c>
      <c r="C7" s="85">
        <f>C8+C12+C13</f>
        <v>15580535.964625541</v>
      </c>
    </row>
    <row r="8" spans="1:9" ht="15" customHeight="1" x14ac:dyDescent="0.35">
      <c r="A8" s="110" t="s">
        <v>108</v>
      </c>
      <c r="B8" s="85">
        <f>SUM(B9:B11)</f>
        <v>8456565.9646255411</v>
      </c>
      <c r="C8" s="85">
        <f>SUM(C9:C11)</f>
        <v>8443508.9646255411</v>
      </c>
      <c r="H8" s="104">
        <v>2019</v>
      </c>
      <c r="I8" s="104">
        <v>2020</v>
      </c>
    </row>
    <row r="9" spans="1:9" ht="15" customHeight="1" x14ac:dyDescent="0.35">
      <c r="A9" s="111" t="s">
        <v>66</v>
      </c>
      <c r="B9" s="99" cm="1">
        <f t="array" ref="B9">_xlfn.IFS($F$6=2021,_xlfn.IFS($F$5="Mais provável",'RIA - Vivo Energy - Junção'!$B$38/1000,$F$5="Otimista",'RIA - Vivo Energy - Junção'!$I$38/1000,$F$5="Pessimista",'RIA - Vivo Energy - Junção'!$B$51/1000,$F$5="Ponderado",'RIA - Vivo Energy - Junção'!$I$51/1000,$F$5="Custos aceites",'RIA - Vivo Energy - Junção'!$B$64/1000),$F$6=2022,_xlfn.IFS($F$5="Mais provável",'RIA - Vivo Energy - Junção'!$C$38/1000,$F$5="Otimista",'RIA - Vivo Energy - Junção'!$J$38/1000,$F$5="Pessimista",'RIA - Vivo Energy - Junção'!$C$51/1000,$F$5="Ponderado",'RIA - Vivo Energy - Junção'!$J$51/1000,$F$5="Custos aceites",'RIA - Vivo Energy - Junção'!$C$64/1000),$F$6=2023,_xlfn.IFS($F$5="Mais provável",'RIA - Vivo Energy - Junção'!$D$38/1000,$F$5="Otimista",'RIA - Vivo Energy - Junção'!$K$38/1000,$F$5="Pessimista",'RIA - Vivo Energy - Junção'!$D$51/1000,$F$5="Ponderado",'RIA - Vivo Energy - Junção'!$K$51/1000,$F$5="Custos aceites",'RIA - Vivo Energy - Junção'!$D$64/1000),$F$6=2024,_xlfn.IFS($F$5="Mais provável",'RIA - Vivo Energy - Junção'!$E$38/1000,$F$5="Otimista",'RIA - Vivo Energy - Junção'!$L$38/1000,$F$5="Pessimista",'RIA - Vivo Energy - Junção'!$E$51/1000,$F$5="Ponderado",'RIA - Vivo Energy - Junção'!$L$51/1000,$F$5="Custos aceites",'RIA - Vivo Energy - Junção'!$E$64/1000),$F$6="Média do quadriénio",_xlfn.IFS($F$5="Mais provável",AVERAGE('RIA - Vivo Energy - Junção'!$B$38:$E$38)/1000,$F$5="Otimista",AVERAGE('RIA - Vivo Energy - Junção'!$I$38:$L$38)/1000,$F$5="Pessimista",AVERAGE('RIA - Vivo Energy - Junção'!$B$51:$E$51)/1000,$F$5="Ponderado",AVERAGE('RIA - Vivo Energy - Junção'!$I$51:$L$51)/1000,$F$5="Custos aceites",AVERAGE('RIA - Vivo Energy - Junção'!$B$64:$E$64)/1000))</f>
        <v>7920314.9646255402</v>
      </c>
      <c r="C9" s="99" cm="1">
        <f t="array" ref="C9">_xlfn.IFS($F$6=2021,_xlfn.IFS($F$5="Mais provável",'RIA - Vivo Energy - Junção'!$B$38/1000,$F$5="Otimista",'RIA - Vivo Energy - Junção'!$I$38/1000,$F$5="Pessimista",'RIA - Vivo Energy - Junção'!$B$51/1000,$F$5="Ponderado",'RIA - Vivo Energy - Junção'!$I$51/1000,$F$5="Custos aceites",'RIA - Vivo Energy - Junção'!$B$64/1000),$F$6=2022,_xlfn.IFS($F$5="Mais provável",'RIA - Vivo Energy - Junção'!$C$38/1000,$F$5="Otimista",'RIA - Vivo Energy - Junção'!$J$38/1000,$F$5="Pessimista",'RIA - Vivo Energy - Junção'!$C$51/1000,$F$5="Ponderado",'RIA - Vivo Energy - Junção'!$J$51/1000,$F$5="Custos aceites",'RIA - Vivo Energy - Junção'!$C$64/1000),$F$6=2023,_xlfn.IFS($F$5="Mais provável",'RIA - Vivo Energy - Junção'!$D$38/1000,$F$5="Otimista",'RIA - Vivo Energy - Junção'!$K$38/1000,$F$5="Pessimista",'RIA - Vivo Energy - Junção'!$D$51/1000,$F$5="Ponderado",'RIA - Vivo Energy - Junção'!$K$51/1000,$F$5="Custos aceites",'RIA - Vivo Energy - Junção'!$D$64/1000),$F$6=2024,_xlfn.IFS($F$5="Mais provável",'RIA - Vivo Energy - Junção'!$E$38/1000,$F$5="Otimista",'RIA - Vivo Energy - Junção'!$L$38/1000,$F$5="Pessimista",'RIA - Vivo Energy - Junção'!$E$51/1000,$F$5="Ponderado",'RIA - Vivo Energy - Junção'!$L$51/1000,$F$5="Custos aceites",'RIA - Vivo Energy - Junção'!$E$64/1000),$F$6="Média do quadriénio",_xlfn.IFS($F$5="Mais provável",AVERAGE('RIA - Vivo Energy - Junção'!$B$38:$E$38)/1000,$F$5="Otimista",AVERAGE('RIA - Vivo Energy - Junção'!$I$38:$L$38)/1000,$F$5="Pessimista",AVERAGE('RIA - Vivo Energy - Junção'!$B$51:$E$51)/1000,$F$5="Ponderado",AVERAGE('RIA - Vivo Energy - Junção'!$I$51:$L$51)/1000,$F$5="Custos aceites",AVERAGE('RIA - Vivo Energy - Junção'!$B$64:$E$64)/1000))</f>
        <v>7920314.9646255402</v>
      </c>
    </row>
    <row r="10" spans="1:9" ht="15" customHeight="1" x14ac:dyDescent="0.35">
      <c r="A10" s="111" t="s">
        <v>109</v>
      </c>
      <c r="B10" s="85">
        <v>323261</v>
      </c>
      <c r="C10" s="83">
        <v>310204</v>
      </c>
      <c r="G10" s="86" t="s">
        <v>116</v>
      </c>
      <c r="H10" s="102">
        <f>AVERAGE([3]Análise!$D$25:$E$25)</f>
        <v>2350708</v>
      </c>
      <c r="I10" s="102">
        <f>AVERAGE([3]Análise!$E$25:$F$25)</f>
        <v>1985852.5</v>
      </c>
    </row>
    <row r="11" spans="1:9" ht="15" customHeight="1" x14ac:dyDescent="0.35">
      <c r="A11" s="111" t="s">
        <v>110</v>
      </c>
      <c r="B11" s="85">
        <v>212990</v>
      </c>
      <c r="C11" s="112">
        <f>IF($F$3="Sim",B11,56738)</f>
        <v>212990</v>
      </c>
      <c r="G11" s="86" t="s">
        <v>95</v>
      </c>
      <c r="H11" s="102">
        <f>AVERAGE([3]Análise!$D$21:$E$21)</f>
        <v>1147670</v>
      </c>
      <c r="I11" s="102">
        <f>AVERAGE([3]Análise!$E$21:$F$21)</f>
        <v>1003349</v>
      </c>
    </row>
    <row r="12" spans="1:9" ht="15" customHeight="1" x14ac:dyDescent="0.35">
      <c r="A12" s="110" t="s">
        <v>111</v>
      </c>
      <c r="B12" s="85">
        <v>3275379</v>
      </c>
      <c r="C12" s="112">
        <f>IF($F$3="Sim",B12,1238642)</f>
        <v>3275379</v>
      </c>
      <c r="G12" s="86" t="s">
        <v>117</v>
      </c>
      <c r="H12" s="103">
        <f>B38/H10</f>
        <v>0.17147212962119243</v>
      </c>
      <c r="I12" s="103">
        <f>C38/I10</f>
        <v>0.28518438393464479</v>
      </c>
    </row>
    <row r="13" spans="1:9" ht="15" customHeight="1" x14ac:dyDescent="0.35">
      <c r="A13" s="110" t="s">
        <v>112</v>
      </c>
      <c r="B13" s="85">
        <v>3861648</v>
      </c>
      <c r="C13" s="112">
        <f>IF($F$3="Sim",B13,1346371)</f>
        <v>3861648</v>
      </c>
      <c r="G13" s="86" t="s">
        <v>90</v>
      </c>
      <c r="H13" s="103">
        <f>B51/H11</f>
        <v>0.30177167310940461</v>
      </c>
      <c r="I13" s="103">
        <f>C51/I11</f>
        <v>0.4786006935435213</v>
      </c>
    </row>
    <row r="14" spans="1:9" ht="15" customHeight="1" x14ac:dyDescent="0.35">
      <c r="A14" s="109" t="s">
        <v>64</v>
      </c>
      <c r="B14" s="85">
        <f>SUM(B15:B17)</f>
        <v>204647</v>
      </c>
      <c r="C14" s="85">
        <f>SUM(C15:C17)</f>
        <v>150854</v>
      </c>
    </row>
    <row r="15" spans="1:9" ht="15" customHeight="1" x14ac:dyDescent="0.35">
      <c r="A15" s="110" t="s">
        <v>113</v>
      </c>
      <c r="B15" s="85">
        <v>87597</v>
      </c>
      <c r="C15" s="83">
        <v>81003</v>
      </c>
      <c r="G15" s="86" t="s">
        <v>118</v>
      </c>
      <c r="H15" s="80" t="s">
        <v>120</v>
      </c>
    </row>
    <row r="16" spans="1:9" ht="15" customHeight="1" x14ac:dyDescent="0.35">
      <c r="A16" s="110" t="s">
        <v>114</v>
      </c>
      <c r="B16" s="85">
        <v>92441</v>
      </c>
      <c r="C16" s="83">
        <v>34288</v>
      </c>
      <c r="G16" s="86" t="s">
        <v>94</v>
      </c>
      <c r="H16" s="80" t="s">
        <v>119</v>
      </c>
    </row>
    <row r="17" spans="1:7" ht="15" customHeight="1" x14ac:dyDescent="0.35">
      <c r="A17" s="110" t="s">
        <v>115</v>
      </c>
      <c r="B17" s="85">
        <v>24609</v>
      </c>
      <c r="C17" s="83">
        <v>35563</v>
      </c>
      <c r="G17" s="86"/>
    </row>
    <row r="18" spans="1:7" ht="15" customHeight="1" x14ac:dyDescent="0.35">
      <c r="A18" s="82" t="s">
        <v>44</v>
      </c>
      <c r="B18" s="85">
        <f>'[3]Rendimentos e ganhos'!L11</f>
        <v>0</v>
      </c>
      <c r="C18" s="83">
        <f>'[3]Rendimentos e ganhos'!O11</f>
        <v>0</v>
      </c>
    </row>
    <row r="19" spans="1:7" ht="15" customHeight="1" x14ac:dyDescent="0.35">
      <c r="A19" s="90" t="s">
        <v>68</v>
      </c>
      <c r="B19" s="96">
        <f>B6+B18</f>
        <v>15798239.964625541</v>
      </c>
      <c r="C19" s="91">
        <f>C6+C18</f>
        <v>15731389.964625541</v>
      </c>
    </row>
    <row r="20" spans="1:7" ht="15" customHeight="1" x14ac:dyDescent="0.35">
      <c r="A20" s="82" t="s">
        <v>45</v>
      </c>
      <c r="B20" s="85">
        <v>0</v>
      </c>
      <c r="C20" s="83">
        <v>0</v>
      </c>
    </row>
    <row r="21" spans="1:7" ht="15" customHeight="1" x14ac:dyDescent="0.35">
      <c r="A21" s="82" t="s">
        <v>46</v>
      </c>
      <c r="B21" s="85">
        <v>0</v>
      </c>
      <c r="C21" s="83">
        <v>0</v>
      </c>
    </row>
    <row r="22" spans="1:7" ht="15" customHeight="1" x14ac:dyDescent="0.35">
      <c r="A22" s="90" t="s">
        <v>69</v>
      </c>
      <c r="B22" s="96">
        <f>SUM(B19:B21)</f>
        <v>15798239.964625541</v>
      </c>
      <c r="C22" s="91">
        <f>SUM(C19:C21)</f>
        <v>15731389.964625541</v>
      </c>
    </row>
    <row r="23" spans="1:7" ht="15" customHeight="1" x14ac:dyDescent="0.35">
      <c r="A23" s="82" t="s">
        <v>70</v>
      </c>
      <c r="B23" s="85">
        <v>128983</v>
      </c>
      <c r="C23" s="83">
        <v>75504</v>
      </c>
    </row>
    <row r="24" spans="1:7" ht="15" customHeight="1" x14ac:dyDescent="0.35">
      <c r="A24" s="90" t="s">
        <v>71</v>
      </c>
      <c r="B24" s="96">
        <f>SUM(B22:B23)</f>
        <v>15927222.964625541</v>
      </c>
      <c r="C24" s="91">
        <f>SUM(C22:C23)</f>
        <v>15806893.964625541</v>
      </c>
    </row>
    <row r="25" spans="1:7" ht="15" customHeight="1" x14ac:dyDescent="0.35">
      <c r="A25" s="82" t="s">
        <v>47</v>
      </c>
      <c r="B25" s="85">
        <f>-1*0.8*B6</f>
        <v>-12638591.971700434</v>
      </c>
      <c r="C25" s="85">
        <f>-1*0.8*C6</f>
        <v>-12585111.971700434</v>
      </c>
      <c r="D25" s="100" t="s">
        <v>106</v>
      </c>
    </row>
    <row r="26" spans="1:7" ht="15" customHeight="1" x14ac:dyDescent="0.35">
      <c r="A26" s="82" t="s">
        <v>72</v>
      </c>
      <c r="B26" s="85">
        <f>-1*0.06*B6</f>
        <v>-947894.39787753241</v>
      </c>
      <c r="C26" s="85">
        <f>-1*0.06*C6</f>
        <v>-943883.39787753241</v>
      </c>
      <c r="D26" s="100" t="s">
        <v>107</v>
      </c>
    </row>
    <row r="27" spans="1:7" ht="15" customHeight="1" x14ac:dyDescent="0.35">
      <c r="A27" s="82" t="s">
        <v>73</v>
      </c>
      <c r="B27" s="85">
        <v>0</v>
      </c>
      <c r="C27" s="83">
        <v>0</v>
      </c>
    </row>
    <row r="28" spans="1:7" ht="15" customHeight="1" x14ac:dyDescent="0.35">
      <c r="A28" s="82" t="s">
        <v>74</v>
      </c>
      <c r="B28" s="85">
        <v>0</v>
      </c>
      <c r="C28" s="83">
        <v>0</v>
      </c>
    </row>
    <row r="29" spans="1:7" ht="15" customHeight="1" x14ac:dyDescent="0.35">
      <c r="A29" s="90" t="s">
        <v>75</v>
      </c>
      <c r="B29" s="96">
        <f>SUM(B25:B28)</f>
        <v>-13586486.369577967</v>
      </c>
      <c r="C29" s="91">
        <f>SUM(C25:C28)</f>
        <v>-13528995.369577967</v>
      </c>
    </row>
    <row r="30" spans="1:7" ht="15" customHeight="1" x14ac:dyDescent="0.35">
      <c r="A30" s="84" t="s">
        <v>76</v>
      </c>
      <c r="B30" s="97">
        <f>SUM(B24,B29)</f>
        <v>2340736.5950475745</v>
      </c>
      <c r="C30" s="92">
        <f>SUM(C24,C29)</f>
        <v>2277898.5950475745</v>
      </c>
    </row>
    <row r="31" spans="1:7" ht="18" customHeight="1" x14ac:dyDescent="0.35">
      <c r="A31" s="82" t="s">
        <v>77</v>
      </c>
      <c r="B31" s="85">
        <v>-1001889.5715600003</v>
      </c>
      <c r="C31" s="83">
        <v>-882330.08435000002</v>
      </c>
    </row>
    <row r="32" spans="1:7" ht="15" customHeight="1" x14ac:dyDescent="0.35">
      <c r="A32" s="82" t="s">
        <v>78</v>
      </c>
      <c r="B32" s="85">
        <v>-461603</v>
      </c>
      <c r="C32" s="83">
        <v>-381084</v>
      </c>
    </row>
    <row r="33" spans="1:3" ht="15" customHeight="1" x14ac:dyDescent="0.35">
      <c r="A33" s="82" t="s">
        <v>79</v>
      </c>
      <c r="B33" s="85">
        <v>-183930.11661000014</v>
      </c>
      <c r="C33" s="83">
        <v>-169800.38890000002</v>
      </c>
    </row>
    <row r="34" spans="1:3" ht="15" customHeight="1" x14ac:dyDescent="0.35">
      <c r="A34" s="90" t="s">
        <v>80</v>
      </c>
      <c r="B34" s="96">
        <f>SUM(B31:B33)</f>
        <v>-1647422.6881700004</v>
      </c>
      <c r="C34" s="91">
        <f>SUM(C31:C33)</f>
        <v>-1433214.4732500003</v>
      </c>
    </row>
    <row r="35" spans="1:3" ht="15" customHeight="1" x14ac:dyDescent="0.35">
      <c r="A35" s="84" t="s">
        <v>81</v>
      </c>
      <c r="B35" s="97">
        <f>SUM(B30,B34)</f>
        <v>693313.90687757405</v>
      </c>
      <c r="C35" s="92">
        <f>SUM(C30,C34)</f>
        <v>844684.12179757422</v>
      </c>
    </row>
    <row r="36" spans="1:3" ht="18" customHeight="1" x14ac:dyDescent="0.35">
      <c r="A36" s="82" t="s">
        <v>50</v>
      </c>
      <c r="B36" s="85">
        <v>-49180</v>
      </c>
      <c r="C36" s="83">
        <v>-39409</v>
      </c>
    </row>
    <row r="37" spans="1:3" ht="15" customHeight="1" x14ac:dyDescent="0.35">
      <c r="A37" s="82" t="s">
        <v>53</v>
      </c>
      <c r="B37" s="85">
        <v>-241053</v>
      </c>
      <c r="C37" s="83">
        <v>-238941</v>
      </c>
    </row>
    <row r="38" spans="1:3" ht="15" customHeight="1" x14ac:dyDescent="0.35">
      <c r="A38" s="84" t="s">
        <v>82</v>
      </c>
      <c r="B38" s="97">
        <f>SUM(B35:B37)</f>
        <v>403080.90687757405</v>
      </c>
      <c r="C38" s="92">
        <f>SUM(C35:C37)</f>
        <v>566334.12179757422</v>
      </c>
    </row>
    <row r="39" spans="1:3" ht="18" customHeight="1" x14ac:dyDescent="0.35">
      <c r="A39" s="82" t="s">
        <v>83</v>
      </c>
      <c r="B39" s="85">
        <v>1068</v>
      </c>
      <c r="C39" s="83">
        <v>264</v>
      </c>
    </row>
    <row r="40" spans="1:3" ht="15" customHeight="1" x14ac:dyDescent="0.35">
      <c r="A40" s="82" t="s">
        <v>55</v>
      </c>
      <c r="B40" s="85">
        <v>-9840</v>
      </c>
      <c r="C40" s="83">
        <v>-21981</v>
      </c>
    </row>
    <row r="41" spans="1:3" ht="15" customHeight="1" x14ac:dyDescent="0.35">
      <c r="A41" s="84" t="s">
        <v>84</v>
      </c>
      <c r="B41" s="97">
        <f>SUM(B38:B40)</f>
        <v>394308.90687757405</v>
      </c>
      <c r="C41" s="92">
        <f>SUM(C38:C40)</f>
        <v>544617.12179757422</v>
      </c>
    </row>
    <row r="42" spans="1:3" ht="18" customHeight="1" x14ac:dyDescent="0.35">
      <c r="A42" s="82" t="s">
        <v>48</v>
      </c>
      <c r="B42" s="85">
        <v>36467</v>
      </c>
      <c r="C42" s="83">
        <v>-23426</v>
      </c>
    </row>
    <row r="43" spans="1:3" ht="15" customHeight="1" x14ac:dyDescent="0.35">
      <c r="A43" s="82" t="s">
        <v>49</v>
      </c>
      <c r="B43" s="85">
        <v>-32882</v>
      </c>
      <c r="C43" s="83">
        <v>-16993</v>
      </c>
    </row>
    <row r="44" spans="1:3" ht="15" customHeight="1" x14ac:dyDescent="0.35">
      <c r="A44" s="82" t="s">
        <v>51</v>
      </c>
      <c r="B44" s="85">
        <v>0</v>
      </c>
      <c r="C44" s="83">
        <v>0</v>
      </c>
    </row>
    <row r="45" spans="1:3" ht="15" customHeight="1" x14ac:dyDescent="0.35">
      <c r="A45" s="82" t="s">
        <v>52</v>
      </c>
      <c r="B45" s="85">
        <v>0</v>
      </c>
      <c r="C45" s="83">
        <v>0</v>
      </c>
    </row>
    <row r="46" spans="1:3" ht="15" customHeight="1" x14ac:dyDescent="0.35">
      <c r="A46" s="93" t="s">
        <v>54</v>
      </c>
      <c r="B46" s="85">
        <v>-267</v>
      </c>
      <c r="C46" s="83">
        <v>0</v>
      </c>
    </row>
    <row r="47" spans="1:3" ht="15" customHeight="1" x14ac:dyDescent="0.35">
      <c r="A47" s="82" t="s">
        <v>85</v>
      </c>
      <c r="B47" s="85">
        <v>232531</v>
      </c>
      <c r="C47" s="83">
        <v>321383</v>
      </c>
    </row>
    <row r="48" spans="1:3" ht="15" customHeight="1" x14ac:dyDescent="0.35">
      <c r="A48" s="82" t="s">
        <v>86</v>
      </c>
      <c r="B48" s="85">
        <v>-183620.65046</v>
      </c>
      <c r="C48" s="83">
        <v>-206443</v>
      </c>
    </row>
    <row r="49" spans="1:4" ht="15" customHeight="1" x14ac:dyDescent="0.35">
      <c r="A49" s="84" t="s">
        <v>56</v>
      </c>
      <c r="B49" s="97">
        <f>SUM(B41:B48)</f>
        <v>446537.25641757401</v>
      </c>
      <c r="C49" s="92">
        <f>SUM(C41:C48)</f>
        <v>619138.12179757422</v>
      </c>
    </row>
    <row r="50" spans="1:4" ht="18" customHeight="1" x14ac:dyDescent="0.35">
      <c r="A50" s="94" t="s">
        <v>57</v>
      </c>
      <c r="B50" s="98">
        <f>IF(B49&gt;0,-1*0.2244*B49,0)</f>
        <v>-100202.9603401036</v>
      </c>
      <c r="C50" s="106">
        <f>IF(C49&gt;0,-1*0.2244*C49,0)</f>
        <v>-138934.59453137565</v>
      </c>
      <c r="D50" s="100" t="s">
        <v>100</v>
      </c>
    </row>
    <row r="51" spans="1:4" ht="18" customHeight="1" x14ac:dyDescent="0.35">
      <c r="A51" s="84" t="s">
        <v>58</v>
      </c>
      <c r="B51" s="97">
        <f>SUM(B49:B50)</f>
        <v>346334.29607747041</v>
      </c>
      <c r="C51" s="92">
        <f>SUM(C49:C50)</f>
        <v>480203.52726619854</v>
      </c>
    </row>
    <row r="52" spans="1:4" ht="18" customHeight="1" x14ac:dyDescent="0.35"/>
  </sheetData>
  <mergeCells count="2">
    <mergeCell ref="A3:C3"/>
    <mergeCell ref="A4:A5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5" orientation="landscape" r:id="rId1"/>
  <headerFooter>
    <oddHeader>&amp;R&amp;"Times New Roman,Normal"Análise económico-financeira</oddHeader>
    <oddFooter>&amp;R&amp;"Times New Roman,Normal"A2MR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2FAE439-EA82-4ED0-A758-51EC4CA161A1}">
          <x14:formula1>
            <xm:f>Lista!$K$1:$K$5</xm:f>
          </x14:formula1>
          <xm:sqref>F6</xm:sqref>
        </x14:dataValidation>
        <x14:dataValidation type="list" allowBlank="1" showInputMessage="1" showErrorMessage="1" xr:uid="{402AC1E2-5FDB-4C41-93F6-DC2CC5A2DE9C}">
          <x14:formula1>
            <xm:f>Lista!$F$1:$F$5</xm:f>
          </x14:formula1>
          <xm:sqref>F5</xm:sqref>
        </x14:dataValidation>
        <x14:dataValidation type="list" allowBlank="1" showInputMessage="1" showErrorMessage="1" xr:uid="{05B79B06-C274-484C-9BD4-7C2F69F46F0C}">
          <x14:formula1>
            <xm:f>Lista!$D$1:$D$2</xm:f>
          </x14:formula1>
          <xm:sqref>F3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82D53-F513-4505-ADDC-7B0300F7A8D8}">
  <dimension ref="A1:K5"/>
  <sheetViews>
    <sheetView workbookViewId="0">
      <selection activeCell="B31" sqref="B31"/>
    </sheetView>
  </sheetViews>
  <sheetFormatPr defaultRowHeight="12.75" x14ac:dyDescent="0.35"/>
  <cols>
    <col min="11" max="11" width="18.46484375" bestFit="1" customWidth="1"/>
  </cols>
  <sheetData>
    <row r="1" spans="1:11" ht="13.15" x14ac:dyDescent="0.4">
      <c r="A1" s="79" t="s">
        <v>39</v>
      </c>
      <c r="D1" s="79" t="s">
        <v>92</v>
      </c>
      <c r="F1" t="s">
        <v>97</v>
      </c>
      <c r="K1" s="152">
        <v>2021</v>
      </c>
    </row>
    <row r="2" spans="1:11" ht="13.15" x14ac:dyDescent="0.4">
      <c r="A2" s="79" t="s">
        <v>40</v>
      </c>
      <c r="D2" s="79" t="s">
        <v>93</v>
      </c>
      <c r="F2" t="s">
        <v>98</v>
      </c>
      <c r="K2" s="152">
        <v>2022</v>
      </c>
    </row>
    <row r="3" spans="1:11" ht="13.15" x14ac:dyDescent="0.4">
      <c r="A3" s="79" t="s">
        <v>41</v>
      </c>
      <c r="F3" t="s">
        <v>99</v>
      </c>
      <c r="K3" s="152">
        <v>2023</v>
      </c>
    </row>
    <row r="4" spans="1:11" ht="13.15" x14ac:dyDescent="0.4">
      <c r="F4" t="s">
        <v>174</v>
      </c>
      <c r="K4" s="152">
        <v>2024</v>
      </c>
    </row>
    <row r="5" spans="1:11" ht="13.15" x14ac:dyDescent="0.4">
      <c r="F5" s="79" t="s">
        <v>171</v>
      </c>
      <c r="K5" s="15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6</vt:i4>
      </vt:variant>
    </vt:vector>
  </HeadingPairs>
  <TitlesOfParts>
    <vt:vector size="15" baseType="lpstr">
      <vt:lpstr>Tarifas_Custos Aceites</vt:lpstr>
      <vt:lpstr>Tarifas_Apuradas</vt:lpstr>
      <vt:lpstr>CP_Resumo</vt:lpstr>
      <vt:lpstr>Preço máximo de venda</vt:lpstr>
      <vt:lpstr>RIA - Enacol - Junção</vt:lpstr>
      <vt:lpstr>RIA - Vivo Energy - Junção</vt:lpstr>
      <vt:lpstr>DR para a gestão - Enacol</vt:lpstr>
      <vt:lpstr>DR para a gestão - Vivo Energy</vt:lpstr>
      <vt:lpstr>Lista</vt:lpstr>
      <vt:lpstr>CP_Resumo!Área_de_Impressão</vt:lpstr>
      <vt:lpstr>'DR para a gestão - Enacol'!Área_de_Impressão</vt:lpstr>
      <vt:lpstr>'DR para a gestão - Vivo Energy'!Área_de_Impressão</vt:lpstr>
      <vt:lpstr>'Preço máximo de venda'!Área_de_Impressão</vt:lpstr>
      <vt:lpstr>'Preço máximo de venda'!o</vt:lpstr>
      <vt:lpstr>'Preço máximo de venda'!Print_Area</vt:lpstr>
    </vt:vector>
  </TitlesOfParts>
  <Company>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Rito Evora</dc:creator>
  <cp:lastModifiedBy>GCI - Pauleth dos Santos</cp:lastModifiedBy>
  <cp:lastPrinted>2021-11-30T16:41:14Z</cp:lastPrinted>
  <dcterms:created xsi:type="dcterms:W3CDTF">2008-10-03T15:46:19Z</dcterms:created>
  <dcterms:modified xsi:type="dcterms:W3CDTF">2021-12-20T17:27:06Z</dcterms:modified>
</cp:coreProperties>
</file>